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mc:AlternateContent xmlns:mc="http://schemas.openxmlformats.org/markup-compatibility/2006">
    <mc:Choice Requires="x15">
      <x15ac:absPath xmlns:x15ac="http://schemas.microsoft.com/office/spreadsheetml/2010/11/ac" url="C:\Users\joseph.koproski\OneDrive - CLEAResult Consulting Inc\BayREN (JS)\003_2021 Design\2022 Program Forms\2022 CAS Grading Sheet\"/>
    </mc:Choice>
  </mc:AlternateContent>
  <xr:revisionPtr revIDLastSave="0" documentId="8_{1D96D8B1-C4B4-41C8-89C9-86AE6346A019}" xr6:coauthVersionLast="47" xr6:coauthVersionMax="47" xr10:uidLastSave="{00000000-0000-0000-0000-000000000000}"/>
  <workbookProtection workbookAlgorithmName="SHA-512" workbookHashValue="iaOUsDh/xUkNjwob8wW/WjnyiXhORA9okjXpD8ckC/9QGe8rt2lpCWjb+s/aQhT1z8pxVWWJi+/vQ7YGi945Og==" workbookSaltValue="WaHCb2mXpm8yQ8WryA659A==" workbookSpinCount="100000" lockStructure="1"/>
  <bookViews>
    <workbookView xWindow="39570" yWindow="-90" windowWidth="19440" windowHeight="15000" firstSheet="1" activeTab="1" xr2:uid="{7645910E-4C4E-44B8-9CEE-F35105BDAED8}"/>
  </bookViews>
  <sheets>
    <sheet name="About" sheetId="8" r:id="rId1"/>
    <sheet name="Entry Sheet" sheetId="1" r:id="rId2"/>
    <sheet name="Incentive Estimate" sheetId="22" r:id="rId3"/>
    <sheet name=" CAZ Requirements" sheetId="9" r:id="rId4"/>
    <sheet name="CAZ 2017 Updates" sheetId="21" r:id="rId5"/>
    <sheet name="Report" sheetId="5" r:id="rId6"/>
    <sheet name="Calculations" sheetId="4" state="hidden" r:id="rId7"/>
    <sheet name="Appendix 1" sheetId="2" state="hidden" r:id="rId8"/>
    <sheet name="Appendix 2" sheetId="3" state="hidden" r:id="rId9"/>
    <sheet name="Table 1" sheetId="6" state="hidden" r:id="rId10"/>
    <sheet name="Table 2" sheetId="7" state="hidden" r:id="rId11"/>
    <sheet name="Table 3" sheetId="14" state="hidden" r:id="rId12"/>
    <sheet name="Table 4" sheetId="18" state="hidden" r:id="rId13"/>
    <sheet name="Table 5" sheetId="20" state="hidden" r:id="rId14"/>
  </sheets>
  <externalReferences>
    <externalReference r:id="rId15"/>
  </externalReferences>
  <definedNames>
    <definedName name="_xlnm._FilterDatabase" localSheetId="1" hidden="1">'Entry Sheet'!$B$14:$C$19</definedName>
    <definedName name="California" localSheetId="1">'Appendix 2'!$L$5:$L$77</definedName>
    <definedName name="Floors">'[1]Data Sheet'!$D$3:$D$7</definedName>
    <definedName name="idaho">'Appendix 2'!$M$5:$M$7</definedName>
    <definedName name="montana">'Appendix 2'!$N$5:$N$10</definedName>
    <definedName name="oregon">'Appendix 2'!$O$5:$O$10</definedName>
    <definedName name="_xlnm.Print_Area" localSheetId="0">About!$A$1:$A$56</definedName>
    <definedName name="_xlnm.Print_Area" localSheetId="5">Report!$B$1:$L$48</definedName>
    <definedName name="State">[1]Sheet1!$A$2:$A$64</definedName>
    <definedName name="states">'Appendix 2'!$K$5:$K$9</definedName>
    <definedName name="VLOOKUPTABLE1">Calculations!#REF!</definedName>
    <definedName name="VLOOKUPTABLE2">Calculations!$L$7:$M$1093</definedName>
    <definedName name="VLOOKUPTABLE3">[1]Sheet1!$A$2:$B$64</definedName>
    <definedName name="washington">'Appendix 2'!$P$5:$P$8</definedName>
    <definedName name="Window">'[1]Data Sheet'!$D$10:$D$11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22" l="1"/>
  <c r="D11" i="22" l="1"/>
  <c r="F5" i="22" l="1"/>
  <c r="E15" i="1"/>
  <c r="D23" i="22" l="1"/>
  <c r="D17" i="22" l="1"/>
  <c r="D13" i="22" l="1"/>
  <c r="E17" i="22"/>
  <c r="E11" i="22"/>
  <c r="E9" i="22"/>
  <c r="W14" i="18" l="1"/>
  <c r="W16" i="18"/>
  <c r="W17" i="18"/>
  <c r="W18" i="18"/>
  <c r="W10" i="18"/>
  <c r="W11" i="18"/>
  <c r="W12" i="18"/>
  <c r="W13" i="18"/>
  <c r="W15" i="18"/>
  <c r="K84" i="1"/>
  <c r="H38" i="5" s="1"/>
  <c r="V14" i="18"/>
  <c r="V16" i="18"/>
  <c r="V17" i="18"/>
  <c r="V18" i="18"/>
  <c r="T22" i="18"/>
  <c r="T23" i="18"/>
  <c r="S23" i="18" s="1"/>
  <c r="V10" i="18"/>
  <c r="V11" i="18"/>
  <c r="V12" i="18"/>
  <c r="V13" i="18"/>
  <c r="V15" i="18"/>
  <c r="K80" i="1"/>
  <c r="G38" i="5" s="1"/>
  <c r="U10" i="18"/>
  <c r="U11" i="18"/>
  <c r="U12" i="18"/>
  <c r="U13" i="18"/>
  <c r="U14" i="18"/>
  <c r="U15" i="18"/>
  <c r="U16" i="18"/>
  <c r="U17" i="18"/>
  <c r="U18" i="18"/>
  <c r="K76" i="1"/>
  <c r="C38" i="5" s="1"/>
  <c r="T14" i="18"/>
  <c r="T16" i="18"/>
  <c r="T17" i="18"/>
  <c r="T18" i="18"/>
  <c r="T10" i="18"/>
  <c r="T11" i="18"/>
  <c r="T12" i="18"/>
  <c r="T13" i="18"/>
  <c r="T15" i="18"/>
  <c r="K72" i="1"/>
  <c r="B38" i="5" s="1"/>
  <c r="T19" i="18"/>
  <c r="V19" i="18"/>
  <c r="P19" i="18"/>
  <c r="N19" i="18"/>
  <c r="C23" i="1"/>
  <c r="B27" i="1" s="1"/>
  <c r="G93" i="1"/>
  <c r="B44" i="5" s="1"/>
  <c r="E23" i="1"/>
  <c r="B23" i="1"/>
  <c r="E13" i="22"/>
  <c r="E15" i="22"/>
  <c r="D15" i="22"/>
  <c r="E33" i="1"/>
  <c r="B33" i="1"/>
  <c r="D21" i="22"/>
  <c r="D25" i="22"/>
  <c r="E21" i="22"/>
  <c r="E25" i="22"/>
  <c r="D9" i="22"/>
  <c r="B50" i="5"/>
  <c r="C19" i="5"/>
  <c r="B62" i="5"/>
  <c r="B53" i="5"/>
  <c r="C9" i="5"/>
  <c r="C14" i="4"/>
  <c r="G17" i="4" s="1"/>
  <c r="D14" i="4"/>
  <c r="H17" i="4" s="1"/>
  <c r="F21" i="4"/>
  <c r="B20" i="1"/>
  <c r="C20" i="1" s="1"/>
  <c r="B25" i="1"/>
  <c r="D20" i="1"/>
  <c r="C25" i="1"/>
  <c r="B23" i="20"/>
  <c r="C23" i="20"/>
  <c r="C4" i="20" s="1"/>
  <c r="B22" i="20"/>
  <c r="C22" i="20"/>
  <c r="H5" i="5"/>
  <c r="H4" i="5"/>
  <c r="H3" i="5"/>
  <c r="C50" i="1"/>
  <c r="C54" i="1" s="1"/>
  <c r="I26" i="1"/>
  <c r="H26" i="1"/>
  <c r="C15" i="20"/>
  <c r="B10" i="20"/>
  <c r="Q14" i="18"/>
  <c r="P14" i="18"/>
  <c r="O14" i="18"/>
  <c r="N14" i="18"/>
  <c r="Q16" i="18"/>
  <c r="P16" i="18"/>
  <c r="O16" i="18"/>
  <c r="N16" i="18"/>
  <c r="Q17" i="18"/>
  <c r="P17" i="18"/>
  <c r="O17" i="18"/>
  <c r="N17" i="18"/>
  <c r="Q18" i="18"/>
  <c r="P18" i="18"/>
  <c r="O18" i="18"/>
  <c r="N18" i="18"/>
  <c r="C20" i="20"/>
  <c r="B20" i="20"/>
  <c r="C19" i="20"/>
  <c r="B19" i="20"/>
  <c r="E15" i="20"/>
  <c r="B15" i="20"/>
  <c r="H6" i="5"/>
  <c r="H8" i="5"/>
  <c r="C6" i="5"/>
  <c r="C5" i="4"/>
  <c r="C40" i="1"/>
  <c r="H44" i="5"/>
  <c r="G44" i="5"/>
  <c r="I6" i="4"/>
  <c r="D39" i="4"/>
  <c r="D34" i="4"/>
  <c r="C39" i="4"/>
  <c r="D38" i="4"/>
  <c r="C38" i="4"/>
  <c r="C41" i="4"/>
  <c r="D41" i="4"/>
  <c r="J31" i="18"/>
  <c r="J30" i="18"/>
  <c r="H30" i="18"/>
  <c r="B31" i="18"/>
  <c r="B30" i="18"/>
  <c r="T24" i="18"/>
  <c r="N24" i="18"/>
  <c r="N23" i="18"/>
  <c r="N22" i="18"/>
  <c r="M23" i="18"/>
  <c r="N10" i="18"/>
  <c r="O10" i="18"/>
  <c r="P10" i="18"/>
  <c r="Q10" i="18"/>
  <c r="N11" i="18"/>
  <c r="O11" i="18"/>
  <c r="P11" i="18"/>
  <c r="Q11" i="18"/>
  <c r="N12" i="18"/>
  <c r="O12" i="18"/>
  <c r="P12" i="18"/>
  <c r="Q12" i="18"/>
  <c r="N13" i="18"/>
  <c r="O13" i="18"/>
  <c r="P13" i="18"/>
  <c r="Q13" i="18"/>
  <c r="N15" i="18"/>
  <c r="O15" i="18"/>
  <c r="P15" i="18"/>
  <c r="Q15" i="18"/>
  <c r="N20" i="18"/>
  <c r="H7" i="5"/>
  <c r="H34" i="5"/>
  <c r="G34" i="5"/>
  <c r="H25" i="5"/>
  <c r="H26" i="5"/>
  <c r="H24" i="5"/>
  <c r="H23" i="5"/>
  <c r="C26" i="5"/>
  <c r="C25" i="5"/>
  <c r="C24" i="5"/>
  <c r="C23" i="5"/>
  <c r="C8" i="5"/>
  <c r="C28" i="20"/>
  <c r="B28" i="20"/>
  <c r="C27" i="20"/>
  <c r="B27" i="20"/>
  <c r="C26" i="20"/>
  <c r="B26" i="20"/>
  <c r="C25" i="20"/>
  <c r="B25" i="20"/>
  <c r="C24" i="20"/>
  <c r="B24" i="20"/>
  <c r="C21" i="20"/>
  <c r="B21" i="20"/>
  <c r="C18" i="20"/>
  <c r="B18" i="20"/>
  <c r="C17" i="20"/>
  <c r="B17" i="20"/>
  <c r="C16" i="20"/>
  <c r="B16" i="20"/>
  <c r="E14" i="20"/>
  <c r="C14" i="20"/>
  <c r="B14" i="20"/>
  <c r="E13" i="20"/>
  <c r="C13" i="20"/>
  <c r="B13" i="20"/>
  <c r="C12" i="20"/>
  <c r="B12" i="20"/>
  <c r="E11" i="20"/>
  <c r="C11" i="20"/>
  <c r="B11" i="20"/>
  <c r="E10" i="20"/>
  <c r="F10" i="20" s="1"/>
  <c r="C10" i="20"/>
  <c r="B34" i="5"/>
  <c r="C34" i="5"/>
  <c r="F7" i="14"/>
  <c r="D7" i="14"/>
  <c r="C7" i="14"/>
  <c r="D11" i="14" s="1"/>
  <c r="F6" i="14"/>
  <c r="D6" i="14"/>
  <c r="C6" i="14"/>
  <c r="D20" i="4"/>
  <c r="C3" i="5"/>
  <c r="C5" i="5"/>
  <c r="C4" i="5"/>
  <c r="C20" i="4"/>
  <c r="C18" i="5"/>
  <c r="D24" i="4"/>
  <c r="D33" i="4"/>
  <c r="D28" i="4"/>
  <c r="C33" i="4"/>
  <c r="C28" i="4"/>
  <c r="C24" i="4"/>
  <c r="C7" i="5"/>
  <c r="C34" i="4"/>
  <c r="D21" i="4"/>
  <c r="G8" i="4"/>
  <c r="G9" i="4" s="1"/>
  <c r="I5" i="4"/>
  <c r="I8" i="4"/>
  <c r="P6" i="3"/>
  <c r="D13" i="5"/>
  <c r="D25" i="4"/>
  <c r="C13" i="4"/>
  <c r="D13" i="4"/>
  <c r="D26" i="4"/>
  <c r="N10" i="3"/>
  <c r="N9" i="3"/>
  <c r="N8" i="3"/>
  <c r="N7" i="3"/>
  <c r="N6" i="3"/>
  <c r="N5" i="3"/>
  <c r="C25" i="4"/>
  <c r="C26" i="4"/>
  <c r="C21" i="4"/>
  <c r="P7" i="3"/>
  <c r="P8" i="3"/>
  <c r="P5" i="3"/>
  <c r="O6" i="3"/>
  <c r="O7" i="3"/>
  <c r="O8" i="3"/>
  <c r="O9" i="3"/>
  <c r="O10" i="3"/>
  <c r="O5" i="3"/>
  <c r="M7" i="3"/>
  <c r="M6" i="3"/>
  <c r="M5" i="3"/>
  <c r="C29" i="4"/>
  <c r="C7" i="4"/>
  <c r="C15" i="4" s="1"/>
  <c r="C6" i="4"/>
  <c r="D29" i="4"/>
  <c r="C31" i="4"/>
  <c r="C36" i="4"/>
  <c r="D36" i="4"/>
  <c r="D31" i="4"/>
  <c r="C13" i="5"/>
  <c r="C3" i="20"/>
  <c r="B3" i="20"/>
  <c r="P7" i="18"/>
  <c r="Q5" i="18" l="1"/>
  <c r="C10" i="4"/>
  <c r="F4" i="22"/>
  <c r="G21" i="4"/>
  <c r="W5" i="18"/>
  <c r="C22" i="4"/>
  <c r="C30" i="4"/>
  <c r="F3" i="22"/>
  <c r="D22" i="4"/>
  <c r="Q4" i="18"/>
  <c r="D10" i="14"/>
  <c r="C40" i="4"/>
  <c r="P5" i="18"/>
  <c r="O5" i="18" s="1"/>
  <c r="G7" i="14"/>
  <c r="H27" i="5"/>
  <c r="C53" i="1"/>
  <c r="C42" i="1" s="1"/>
  <c r="C28" i="5" s="1"/>
  <c r="C27" i="5"/>
  <c r="C43" i="1"/>
  <c r="G6" i="14"/>
  <c r="E6" i="14"/>
  <c r="D40" i="4"/>
  <c r="D16" i="4"/>
  <c r="D35" i="4"/>
  <c r="E10" i="14"/>
  <c r="F10" i="14"/>
  <c r="H10" i="14" s="1"/>
  <c r="D30" i="4"/>
  <c r="C35" i="4"/>
  <c r="F11" i="14"/>
  <c r="H11" i="14" s="1"/>
  <c r="Q6" i="18"/>
  <c r="E7" i="14"/>
  <c r="E11" i="14" s="1"/>
  <c r="W4" i="18"/>
  <c r="P6" i="18"/>
  <c r="G7" i="4"/>
  <c r="H15" i="4" s="1"/>
  <c r="H9" i="5" s="1"/>
  <c r="P4" i="18"/>
  <c r="O4" i="18" s="1"/>
  <c r="C16" i="4"/>
  <c r="I7" i="4"/>
  <c r="Q7" i="18"/>
  <c r="O7" i="18" s="1"/>
  <c r="V6" i="18"/>
  <c r="F22" i="4"/>
  <c r="G10" i="4"/>
  <c r="W7" i="18"/>
  <c r="V7" i="18"/>
  <c r="W6" i="18"/>
  <c r="V5" i="18"/>
  <c r="U5" i="18" s="1"/>
  <c r="V4" i="18"/>
  <c r="U6" i="18" l="1"/>
  <c r="G15" i="4"/>
  <c r="D42" i="4"/>
  <c r="D17" i="4" s="1"/>
  <c r="H16" i="4" s="1"/>
  <c r="C42" i="4"/>
  <c r="C17" i="4" s="1"/>
  <c r="G16" i="4" s="1"/>
  <c r="O6" i="18"/>
  <c r="H29" i="5"/>
  <c r="G10" i="14"/>
  <c r="U4" i="18"/>
  <c r="G11" i="14"/>
  <c r="E14" i="14"/>
  <c r="U7" i="18"/>
  <c r="H13" i="4"/>
  <c r="G13" i="4"/>
  <c r="D18" i="4" l="1"/>
  <c r="I32" i="1" s="1"/>
  <c r="I36" i="1" s="1"/>
  <c r="D17" i="5" s="1"/>
  <c r="D14" i="5"/>
  <c r="H14" i="4"/>
  <c r="D15" i="5" s="1"/>
  <c r="C14" i="5"/>
  <c r="G14" i="4"/>
  <c r="C15" i="5" s="1"/>
  <c r="G14" i="14"/>
  <c r="C51" i="1" s="1"/>
  <c r="C18" i="4"/>
  <c r="H32" i="1" s="1"/>
  <c r="C16" i="5" s="1"/>
  <c r="D16" i="5" l="1"/>
  <c r="H28" i="5"/>
  <c r="C52" i="1"/>
  <c r="C41" i="1" s="1"/>
  <c r="H36" i="1"/>
  <c r="C17" i="5" s="1"/>
</calcChain>
</file>

<file path=xl/sharedStrings.xml><?xml version="1.0" encoding="utf-8"?>
<sst xmlns="http://schemas.openxmlformats.org/spreadsheetml/2006/main" count="2023" uniqueCount="1629">
  <si>
    <t>About &amp; User Guide</t>
  </si>
  <si>
    <t>Start your project on the entry sheet</t>
  </si>
  <si>
    <t>Enter your project information</t>
  </si>
  <si>
    <t>Enter the basic building data</t>
  </si>
  <si>
    <t>Enter Infiltration for Pre or Post or both</t>
  </si>
  <si>
    <t>Enter minutes per hour if using intermittent ventilation</t>
  </si>
  <si>
    <t>Enter duct sealing information (this is the post test or test out)</t>
  </si>
  <si>
    <t>CAZ Zone Testing</t>
  </si>
  <si>
    <t>Select a CAZ zone, CAZ appliance type,</t>
  </si>
  <si>
    <t>Enter appliance and gas line testing information</t>
  </si>
  <si>
    <t>Enter notes in places provided for program staff and homeowners</t>
  </si>
  <si>
    <t>Open Incentive Estimate Tab</t>
  </si>
  <si>
    <t>Answer all questions in yellow</t>
  </si>
  <si>
    <t>Do not double up on multiple choice options, they cancel each other out and reduce incentive.</t>
  </si>
  <si>
    <t>Review CAZ requirements when performing CAZ testing</t>
  </si>
  <si>
    <t>Open Report Tab</t>
  </si>
  <si>
    <t>All results from entry Sheet are present for review</t>
  </si>
  <si>
    <t>Enter type of mechanical ventilation used in homes requiring additional ventilation</t>
  </si>
  <si>
    <t>page can be printed to present to homeowner or program staff</t>
  </si>
  <si>
    <t>Project Information</t>
  </si>
  <si>
    <r>
      <rPr>
        <b/>
        <sz val="11"/>
        <color theme="4"/>
        <rFont val="Arial"/>
        <family val="2"/>
        <scheme val="minor"/>
      </rPr>
      <t>Optional:</t>
    </r>
    <r>
      <rPr>
        <b/>
        <sz val="11"/>
        <color theme="1" tint="0.499984740745262"/>
        <rFont val="Arial"/>
        <family val="2"/>
        <scheme val="minor"/>
      </rPr>
      <t xml:space="preserve"> Existing Building Ventilation</t>
    </r>
  </si>
  <si>
    <t>Owner</t>
  </si>
  <si>
    <t>Kitchen</t>
  </si>
  <si>
    <t>Pre</t>
  </si>
  <si>
    <t>Post</t>
  </si>
  <si>
    <t>Address</t>
  </si>
  <si>
    <t>Operable Window?</t>
  </si>
  <si>
    <t>City</t>
  </si>
  <si>
    <t>Enter Fan CFM</t>
  </si>
  <si>
    <t>State</t>
  </si>
  <si>
    <t>California</t>
  </si>
  <si>
    <t>Assuming Fan's Rated Flow?</t>
  </si>
  <si>
    <t>Zip</t>
  </si>
  <si>
    <t>Bath 1</t>
  </si>
  <si>
    <t>Project ID #</t>
  </si>
  <si>
    <t>Test In / Out Date</t>
  </si>
  <si>
    <t>Tester Name (BPI Analyst)</t>
  </si>
  <si>
    <t>Bath 2</t>
  </si>
  <si>
    <t>Testers BPI Number</t>
  </si>
  <si>
    <t>Is there a 2nd Bath?</t>
  </si>
  <si>
    <t>No</t>
  </si>
  <si>
    <t>Building Characteristics</t>
  </si>
  <si>
    <t>Year built</t>
  </si>
  <si>
    <t>Conditioned Floor Area</t>
  </si>
  <si>
    <t>Bath 3</t>
  </si>
  <si>
    <t>Ceiling Height</t>
  </si>
  <si>
    <t>Is there a 3rd Bath?</t>
  </si>
  <si>
    <t># of Bedrooms</t>
  </si>
  <si>
    <t># of Floors</t>
  </si>
  <si>
    <t>Bath 4</t>
  </si>
  <si>
    <t>30% Reduction Goal</t>
  </si>
  <si>
    <t>Is there a 4th Bath?</t>
  </si>
  <si>
    <t>Final SLA</t>
  </si>
  <si>
    <t>Final ACHn</t>
  </si>
  <si>
    <t>% Reduction from Default SLA</t>
  </si>
  <si>
    <t>Meets 30% Reduction</t>
  </si>
  <si>
    <t>Ventilation "Deficit" CFM</t>
  </si>
  <si>
    <r>
      <rPr>
        <b/>
        <sz val="11"/>
        <color theme="4"/>
        <rFont val="Arial"/>
        <family val="2"/>
        <scheme val="minor"/>
      </rPr>
      <t>Optional:</t>
    </r>
    <r>
      <rPr>
        <b/>
        <sz val="11"/>
        <color theme="1" tint="0.499984740745262"/>
        <rFont val="Arial"/>
        <family val="2"/>
        <scheme val="minor"/>
      </rPr>
      <t xml:space="preserve"> Ventilation Requirement:</t>
    </r>
  </si>
  <si>
    <t>Infiltration</t>
  </si>
  <si>
    <t>If fan is continuous:</t>
  </si>
  <si>
    <t>Enter Blower Door CFM50</t>
  </si>
  <si>
    <t>CFM</t>
  </si>
  <si>
    <r>
      <rPr>
        <b/>
        <sz val="11"/>
        <color theme="4"/>
        <rFont val="Arial"/>
        <family val="2"/>
        <scheme val="minor"/>
      </rPr>
      <t>Optional:</t>
    </r>
    <r>
      <rPr>
        <b/>
        <sz val="11"/>
        <color theme="1" tint="0.499984740745262"/>
        <rFont val="Arial"/>
        <family val="2"/>
        <scheme val="minor"/>
      </rPr>
      <t xml:space="preserve"> Or, if fan runs intermittently:</t>
    </r>
  </si>
  <si>
    <t>Enter Minutes Per Hour</t>
  </si>
  <si>
    <t>Duct Test CFM25 Result</t>
  </si>
  <si>
    <t>Nominal Heating or Cooling?</t>
  </si>
  <si>
    <t>Cooling  Load (tons)</t>
  </si>
  <si>
    <r>
      <rPr>
        <b/>
        <sz val="11"/>
        <color theme="4"/>
        <rFont val="Arial"/>
        <family val="2"/>
        <scheme val="minor"/>
      </rPr>
      <t>Optional:</t>
    </r>
    <r>
      <rPr>
        <b/>
        <sz val="11"/>
        <color theme="1" tint="0.499984740745262"/>
        <rFont val="Arial"/>
        <family val="2"/>
        <scheme val="minor"/>
      </rPr>
      <t xml:space="preserve"> Whole Building Ventilation Type</t>
    </r>
  </si>
  <si>
    <t>Furnace Output/1000</t>
  </si>
  <si>
    <t>None</t>
  </si>
  <si>
    <t>Duct Leakage Result</t>
  </si>
  <si>
    <t>Meets ≤ 10% Leakage?</t>
  </si>
  <si>
    <t>Duct Sealing System 2</t>
  </si>
  <si>
    <t>System 1 &amp; 2 Weighted Avg</t>
  </si>
  <si>
    <t>Notes For Program</t>
  </si>
  <si>
    <t>Notes For Homeowner</t>
  </si>
  <si>
    <r>
      <rPr>
        <b/>
        <sz val="10"/>
        <color theme="1"/>
        <rFont val="Arial"/>
        <family val="2"/>
        <scheme val="minor"/>
      </rPr>
      <t xml:space="preserve">Directions: </t>
    </r>
    <r>
      <rPr>
        <sz val="10"/>
        <color theme="1"/>
        <rFont val="Arial"/>
        <family val="2"/>
        <scheme val="minor"/>
      </rPr>
      <t xml:space="preserve">
Spillage, Worst Case Pa, Air Free CO, Ambient CO: If unit is exempt from testing, input "NA" into cell. If unit is non-operational, select "Non-Op" under Spillage field. 
Spillage (Warm Vent): Enter final testing result. If unit fails under 2 minutes but passes under 5 minutes, a note must be entered below. 
Worst Case Pa: If unit must be tested but no worst case is given due to unit being located outside of the pressure boundary of the living space, enter "NA" and leave a note to explain methodology for determining this. 
Pre Test: Data used to qualify homes and communicate potential issues with homeowners.
Post Test: Data required for completion of project.
</t>
    </r>
  </si>
  <si>
    <t>CAZ Zone</t>
  </si>
  <si>
    <t>Location</t>
  </si>
  <si>
    <t>Unit</t>
  </si>
  <si>
    <t>Type</t>
  </si>
  <si>
    <t>Spillage</t>
  </si>
  <si>
    <t>Worst Case Pa.</t>
  </si>
  <si>
    <t>Air Free CO ppm</t>
  </si>
  <si>
    <t>Ambient CO ppm</t>
  </si>
  <si>
    <t>CVA</t>
  </si>
  <si>
    <t xml:space="preserve">Post Test Grading </t>
  </si>
  <si>
    <t>Pre Test Values</t>
  </si>
  <si>
    <t>Post Test Values</t>
  </si>
  <si>
    <t>·</t>
  </si>
  <si>
    <t>APPLIANCE &amp; GAS LINE TESTING</t>
  </si>
  <si>
    <t>Stove</t>
  </si>
  <si>
    <t xml:space="preserve">Oven </t>
  </si>
  <si>
    <t>Gas Line Testing</t>
  </si>
  <si>
    <t>Post Test Grading</t>
  </si>
  <si>
    <r>
      <rPr>
        <b/>
        <sz val="10"/>
        <color theme="1"/>
        <rFont val="Arial"/>
        <family val="2"/>
        <scheme val="minor"/>
      </rPr>
      <t xml:space="preserve">Directions: </t>
    </r>
    <r>
      <rPr>
        <u/>
        <sz val="10"/>
        <color theme="1"/>
        <rFont val="Arial"/>
        <family val="2"/>
        <scheme val="minor"/>
      </rPr>
      <t xml:space="preserve">
</t>
    </r>
    <r>
      <rPr>
        <sz val="10"/>
        <color theme="1"/>
        <rFont val="Arial"/>
        <family val="2"/>
        <scheme val="minor"/>
      </rPr>
      <t xml:space="preserve">Enter ambient &amp; as-measured CO readings for all gas appliances not recorded above. Other Gas Unit must be specified in notes section and recommendation/failure levels may vary. 
If a unit is electric, you must leave a note below to inform the review team.  </t>
    </r>
  </si>
  <si>
    <t>Ambient: CO ppm</t>
  </si>
  <si>
    <t>As Measured ppm</t>
  </si>
  <si>
    <t>Gas Line (Other Appliance)</t>
  </si>
  <si>
    <t>Project Inputs</t>
  </si>
  <si>
    <t>Incentive Calculations</t>
  </si>
  <si>
    <t>Year Built</t>
  </si>
  <si>
    <t>BayREN Measures</t>
  </si>
  <si>
    <t>Attic Insulation</t>
  </si>
  <si>
    <t>Air Conditioning</t>
  </si>
  <si>
    <t>Air Sealing</t>
  </si>
  <si>
    <t>Duct Insulation</t>
  </si>
  <si>
    <t>Tankless Water Heater</t>
  </si>
  <si>
    <t>Efficient Windows</t>
  </si>
  <si>
    <t>Central Furnace</t>
  </si>
  <si>
    <t>Wall Furnace</t>
  </si>
  <si>
    <t>ENERGY STAR Certified</t>
  </si>
  <si>
    <t>ANSI/BPI-1200-S-2015 Standard Practice for Basic Analysis of Buildings</t>
  </si>
  <si>
    <t>7 Combustion Appliance and Fuel Distribution System Inspection</t>
  </si>
  <si>
    <t>The auditor shall comply with the requirements detailed in BPI-1100, Section 7, Combustion Appliance and Fuel Distribution System Inspection. In addition, the inspection of combustion appliances and fuel distribution systems shall be conducted as follows:</t>
  </si>
  <si>
    <t>7.1 Equipment requirements for combustible gas and carbon monoxide (CO) detection, CO measurement, depressurization and spillage tests</t>
  </si>
  <si>
    <t>7.1.1 Combustible gas detector (CGD)</t>
  </si>
  <si>
    <t>CGD equipment used for testing shall:</t>
  </si>
  <si>
    <t>7.1.1.1 Be classified to UL 913 Intrinsically Safe Apparatus and Associated Apparatus for Use in Class I, II, and III, Division 1, Hazardous (Classified) Locations or equivalent.</t>
  </si>
  <si>
    <t>7.1.1.2 Have a variable tick rate or changing tone based on gas concentration levels. Note: The tick rate provides the indication of concentration but only accounts for relative concentration changes, not necessarily identifying hazardous concentration thresholds.</t>
  </si>
  <si>
    <t>7.1.1.3 Be capable of providing a digital display of percentage of Lower Explosive Limit (LEL) and/or provide an alarm when detecting combustible gas concentrations exceeding 10% Lower Explosive Limit (LEL).</t>
  </si>
  <si>
    <t>7.1.1.4 Be calibrated and/or operation checked in accordance with the manufacturer’s recommendations with available documentation traceable to the individual device.</t>
  </si>
  <si>
    <t>7.1.1.5 Have the ability to zero ambient conditions.</t>
  </si>
  <si>
    <t>7.1.2 CO measurement equipment</t>
  </si>
  <si>
    <t>Equipment/instruments used for flue gas CO measurement shall:</t>
  </si>
  <si>
    <t>7.1.2.1 Be capable of measuring, and displaying digitally, carbon monoxide (CO) levels from 0 to 2,000 parts per million (ppm).</t>
  </si>
  <si>
    <t>7.1.2.2 Be capable of calculating and displaying digitally, CO air free concentrations, or have digital displays of CO as measured and O2 levels to allow manual calculation of CO air free.</t>
  </si>
  <si>
    <t>7.1.2.3 Have a resolution of 1 ppm.</t>
  </si>
  <si>
    <t>7.1.2.4 Have an accuracy of +/- 5% of reading or +/-10ppm, whichever is greater.</t>
  </si>
  <si>
    <t>7.1.2.5 Be equipped internally or externally with a nitric oxide filter (NOx filter).</t>
  </si>
  <si>
    <t>7.1.2.6 Be calibrated in accordance with the manufacturer’s recommendations with available documentation traceable to the individual device.</t>
  </si>
  <si>
    <t>7.1.3 Ambient CO monitor</t>
  </si>
  <si>
    <t>7.1.3.1 Auditors performing CO inspections shall be equipped with a dedicated ambient CO monitor while in the work environment. “Work environment” includes the building being audited and ambient air and other exposure environments preceding entry of the audited property.</t>
  </si>
  <si>
    <t>7.1.3.2 CO monitors shall be operated in accordance with the manufacturer’s instructions.</t>
  </si>
  <si>
    <t>7.1.4 Equipment required for depressurization and spillage assessment</t>
  </si>
  <si>
    <t>7.1.4.1 Mirror, smoke pencils or other smoke visualization equipment.</t>
  </si>
  <si>
    <t>7.1.4.2 One or more manometer(s) which shall:</t>
  </si>
  <si>
    <t>7.1.4.2.1 Have a resolution of 0.1 Pa or better and an accuracy of +/- 1% of pressure reading or +/-0.15 Pa, whichever is greater.</t>
  </si>
  <si>
    <t>7.1.4.2.2 Be calibrated and/or operation checked per current manufacturer’s specifications with available documentation traceable to the individual device.</t>
  </si>
  <si>
    <t>7.2 Immediate health and safety concerns</t>
  </si>
  <si>
    <t>7.2.1 The auditor shall identify building-related conditions as covered in the scope of this document that may require immediate health and safety remediation in accordance with subsequent sections of this document.</t>
  </si>
  <si>
    <t>7.2.2 The auditor shall communicate these situations clearly and immediately to the homeowner/occupant and recommend contacting a qualified professional for proper repair and/or maintenance.</t>
  </si>
  <si>
    <t>7.3 Conditions for entry and working environment associated with indoor air quality</t>
  </si>
  <si>
    <t>The auditor shall conduct the procedures within Sections 7.3.2 and 7.3.3 to measure carbon monoxide (CO) and combustible gas levels in the indoor air environment and take action, as required. Only after CO and combustible gas levels are found to be below levels calling for evacuation of the home (per Sections 7.3.2.2 and 7.3.3.3.1) shall further work be undertaken.</t>
  </si>
  <si>
    <t>7.3.1 CGD, ambient CO monitors, and CO measurement</t>
  </si>
  <si>
    <t>Instruments shall be turned on outside the building away from any combustion outlets and automobile traffic areas, set to zero, and otherwise prepared for use in accordance with manufacturer’s instructions.</t>
  </si>
  <si>
    <t>7.3.2 Combustible fuel gases</t>
  </si>
  <si>
    <t>7.3.2.1 Indoor ambient air shall be sampled with the CGD in at least one location per floor of occupied space upon entering the home.</t>
  </si>
  <si>
    <t>7.3.2.2 If any measured concentrations of combustible fuel gas exceed 10% of the LEL, the auditor shall inform the homeowner/occupants of the unsafe condition and advise evacuation of the home. The auditor shall leave the home and the appropriate emergency services and fuel gas providers shall be notified from outside the home.1</t>
  </si>
  <si>
    <t>7.3.3 Carbon monoxide</t>
  </si>
  <si>
    <t>7.3.3.1 Ambient CO monitoring</t>
  </si>
  <si>
    <t>7.3.3.1.1 The auditor shall have a designated ambient CO monitor operating at all times while in the work environment.</t>
  </si>
  <si>
    <t>7.3.3.1.2 The auditor shall comply with CO exposure action levels specified in Section 7.3.3.3 of this document and shall not proceed with work when CO concentrations in the work environment exceed 70 ppm.</t>
  </si>
  <si>
    <t>7.3.3.2 Indoor ambient CO measurements</t>
  </si>
  <si>
    <t>1 The auditor shall contact the appropriate emergency services only if the homeowner/occupant is unable to do so.</t>
  </si>
  <si>
    <t>7.3.3.2.1 Upon entering the building, the ambient air shall be sampled to determine the level of CO in the building by conducting measurements in the occupied space, including utility rooms.</t>
  </si>
  <si>
    <t>7.3.3.2.2 The auditor shall continue to monitor CO levels in the ambient air at all times while in the work environment.</t>
  </si>
  <si>
    <t>7.3.3.3 Indoor ambient CO action levels</t>
  </si>
  <si>
    <t>Actions in response to ambient CO measurements shall be taken as follows:</t>
  </si>
  <si>
    <t>7.3.3.3.1 If the CO instrument indicates an ambient CO level of 70 ppm or greater, the auditor shall immediately terminate the inspection and notify the homeowner/occupant of the need for all building occupants to evacuate the building. The auditor shall immediately leave the building and the appropriate emergency services shall be notified from outside the home.</t>
  </si>
  <si>
    <t>7.3.3.3.2 If the CO instrument indicates an ambient CO reading in the range of 36 ppm-69 ppm, the auditor shall advise the homeowner/occupant that elevated levels of ambient CO have been detected. Windows and doors shall be opened. The auditor shall recommend that all possible sources of CO be turned off immediately. Where it appears that the source of CO is a permanently installed appliance, the auditor shall recommend that the appliance be turned off and the homeowner/occupant shall be advised to contact a qualified professional.</t>
  </si>
  <si>
    <t>7.3.3.3.3 If the CO instrument indicates an ambient CO reading in the range of 9 ppm-35 ppm, the auditor shall advise the homeowner/occupant that CO has been detected and recommend that all possible sources of CO be checked and windows and doors opened. Where it appears that the source of CO is a permanently installed appliance, the homeowner/occupant shall be advised to contact a qualified professional.</t>
  </si>
  <si>
    <t>7.4 Order of inspection procedures</t>
  </si>
  <si>
    <t>After the auditor has verified that combustible fuel gases are below 10% of the LEL (per section 7.3.2.) and that ambient CO readings are below 70 ppm (per section 7.3.3.2.), the following inspections, as applicable to the specific circumstances of the home being evaluated, shall be performed in the order in which they are listed below.</t>
  </si>
  <si>
    <t>7.4.1 Natural Gas and Liquid Petroleum (LP) Gas Piping System Inspection</t>
  </si>
  <si>
    <t>7.4.2 Oil Supply System Inspection</t>
  </si>
  <si>
    <t>7.4.3 Visual Inspection of Combustion Appliance Zone (CAZ)</t>
  </si>
  <si>
    <t>7.4.4 Combustion Appliance Safety Inspection</t>
  </si>
  <si>
    <t>7.4.5 Solid Fuel Burning Appliance Inspection</t>
  </si>
  <si>
    <t>7.4.6 Placing Appliances Back in Operation</t>
  </si>
  <si>
    <t>7.5 Natural gas and LP gas piping system inspection</t>
  </si>
  <si>
    <t>An inspection of the fuel piping system/s shall be performed. Where the auditor identifies deficiencies in materials, connections, components, or supports, the deficiencies shall be noted in project documentation along with a recommendation that the homeowner/occupant contact a qualified professional to inspect the system.</t>
  </si>
  <si>
    <t>7.5.1 Systems shall be inspected and tested in accordance with the ANSI Z223.1/NFPA 54, National Fuel Gas Code, Chapter 8, Inspection, Testing, and Purging, and where called for by the local authority having jurisdiction (AHJ), shall be tested in accordance with Annex C of ANSI Z223.1/NFPA 54, Suggested Method for Checking for Leakage.</t>
  </si>
  <si>
    <t>Alternatively, the auditor shall conduct the following inspection tasks:</t>
  </si>
  <si>
    <t>7.5.2 Natural gas and LP gas piping system inspection and leakage testing</t>
  </si>
  <si>
    <t>An inspection of the accessible gas piping and connections, from the natural gas meter or LP gas tank to a point where the supply line connects to the gas valve of all appliances shall be completed.</t>
  </si>
  <si>
    <t>7.5.2.1 Beginning at the natural gas meter or LP gas tank, conduct a test for gas leakage using a CGD. Where a leak is indicated by the CGD, confirm with leak detection solution. Follow manufacturer’s instructions for performing gas leak testing.</t>
  </si>
  <si>
    <t>7.5.2.2 In the absence of manufacturer instructions, perform gas leak testing as follows:</t>
  </si>
  <si>
    <t>7.5.2.2.1 Hold the CGD wand within an inch of the line, starting at the first joint closest to the outlet of the LP gas tank or natural gas meter outlet.</t>
  </si>
  <si>
    <t>7.5.2.2.2 Move the CGD wand along the entire gas line at a rate of 1ʺ per second with the tip above the line for natural gas and below for LP gas. Move the CGD wand in a 360-degree circle completely around each joint at a rate of 1” per second.</t>
  </si>
  <si>
    <t>7.5.2.2.3 All connections thereafter shall be tested in the same manner.</t>
  </si>
  <si>
    <t>7.5.2.3 The gas leakage inspection shall include the following components:</t>
  </si>
  <si>
    <t>7.5.2.3.1 The entire gas line and all accessible gas piping fittings from the outlet of the natural gas meter or LP gas tank to a point where the supply line connects to the gas valve of all appliances. Do not move appliances.</t>
  </si>
  <si>
    <t>7.5.2.3.2 Appliance gas valve/regulator housing and connections.</t>
  </si>
  <si>
    <t>7.5.2.4 Where gas leakage is confirmed, the site shall be marked and the homeowner/occupant shall be notified that repairs should be made. The auditor shall recommend that the homeowner/occupant immediately notify the gas company and/or a qualified professional to evaluate and perform all necessary repairs. 2</t>
  </si>
  <si>
    <t>7.5.2.5 When the CGD indicates that combustible gas exists in the ambient atmosphere (at any level below 10% of LEL) and a gas leak cannot be confirmed with the use of leak detection solution, the auditor shall inform the homeowner/occupants and advise the homeowner/occupant to notify the gas company and/or a qualified professional.</t>
  </si>
  <si>
    <t>7.5.2.6 Inspect fuel lines for visibly worn flexible gas lines and any flexible connectors manufactured prior to 1973. Inspect flexible appliance connectors to determine if they are free of cracks, kinks, corrosion and signs of damage.</t>
  </si>
  <si>
    <t>7.5.2.7 Where fuel lines or connectors are determined to be unsafe or where an uncoated brass connector is found, notify the homeowner/occupant and recommend that the appliance shutoff valve be placed in the off position and that the connector be replaced.</t>
  </si>
  <si>
    <t>7.5.2.8 Inspect piping to determine that it is adequately supported, that there is no undue stress on the piping, and if there are any improperly capped pipe openings.</t>
  </si>
  <si>
    <t>7.5.2.9 Where the auditor identifies deficiencies in gas piping materials, connections, components, or supports, the deficiencies shall be noted in project documentation along with a recommendation that the homeowner/occupant contact a qualified professional to inspect the system.</t>
  </si>
  <si>
    <t>DETERMINING IF MORE COMBUSTION VENTILATION AIR (CVA) IS REQUIRED</t>
  </si>
  <si>
    <t>The first step is to determine the input BTUs of the combustion appliances in a zone. You need to have enough ventilation air for all the appliances in a zone, not just one. Often times you will see this situation with both a furnace and water heater located in a garage.</t>
  </si>
  <si>
    <t>The next step is determine of the combustion zone (closet, garage, etc.) is considered a "confined space." The existing area in cubic feet is measured by multiplying the length, width, and height of the enclosure or room. The required cubic feet is determined by totaling the input BTUs, dividing by 1000, and then multiplying by 50. There is an easier formula that achieves the same results. Divide the total BTU input by 2, and then drop the last zero. Example: 44,000 BTU input divided by 2 = 22,000. Drop the last zero = 2,200 cu. ft. If the "existing area" is less than the "required cubic feet," then CVA is required.</t>
  </si>
  <si>
    <t>RULES FOR COMBUSTION VENTILATION AIR</t>
  </si>
  <si>
    <t>Once it has been determined that the combustion appliance zone requires CVA, then the Net Free Vent (NFV) area, per opening(s) must be determined. This is achieved by taking the total kBTU input and divide by the CVA rule that is being used. Example: The total BTU input is 80,000 BTUs. You have chosen rule 4. 80,000 divided by 1000 = 80. 80 divided by rule 4 = 20 sq. in. required NFV area. Below are the 4 rules that can be used for CVA.</t>
  </si>
  <si>
    <t>Rule 1: Requires two opening. CVA from conditioned space (living space, not garage) requires that each opening shall have a NFV area of at least 1 sq. in. for every 1000 BTUs input. 1 upper vent within 12" of ceiling and 1 lower vent within 12" of floor venting to unconfined space (attic / crawlspace). Each opening, minimum 100 sq. in.</t>
  </si>
  <si>
    <t>Rule 2: Requires two openings. CVA supplied by horizontal ducts to the outside (unconditioned space). 1 upper duct and 1 lower duct. Each opening requires a NFV area of at least 1 sq. in. for every 2000 BTUs input.</t>
  </si>
  <si>
    <t>Rule 3: Requires one opening. CVA to outside (unconditioned space). 1 upper opening may be used to provide the combustion air. The vent must provide 1 sq. in. NFV area per 3,000 BTUs input. With Rule 3, appliances must have a clearance of 1 inch on the sides and back and 6 inches in front from appliance to wall / door.</t>
  </si>
  <si>
    <t>Rule 4: Requires two openings. CVA to the outside (unconditioned space). 1 upper and 1 lower vent or vertical duct opening is required. Each opening shall have a NFV area of at least 1 sq. in. for every 4000 BTUs input. If the combustion appliance zone is an unconditioned garage, then only one opening is required.</t>
  </si>
  <si>
    <t>Below are the vent opening multipliers to calculate NFV area.</t>
  </si>
  <si>
    <t>Mesh 1/4 in. or larger = 90% of the actual vent opening</t>
  </si>
  <si>
    <t>Mesh, less than 1/4 = 50% of the actual vent opening</t>
  </si>
  <si>
    <t>Metal louvers = 75% of the actual vent opening</t>
  </si>
  <si>
    <t>Wooden louvers = 25% of the actual vent opening</t>
  </si>
  <si>
    <t>Project Name:</t>
  </si>
  <si>
    <t>Test Out Date</t>
  </si>
  <si>
    <t>Project Address:</t>
  </si>
  <si>
    <t>Project City:</t>
  </si>
  <si>
    <t>Project State:</t>
  </si>
  <si>
    <t>Floor Area (SF)</t>
  </si>
  <si>
    <t>Project Zip:</t>
  </si>
  <si>
    <t># of Bedrooms:</t>
  </si>
  <si>
    <t>Number of Floors</t>
  </si>
  <si>
    <t>Test In Date</t>
  </si>
  <si>
    <r>
      <t>Target CFM</t>
    </r>
    <r>
      <rPr>
        <b/>
        <vertAlign val="subscript"/>
        <sz val="11"/>
        <color theme="1"/>
        <rFont val="Arial"/>
        <family val="2"/>
        <scheme val="minor"/>
      </rPr>
      <t>50</t>
    </r>
    <r>
      <rPr>
        <b/>
        <sz val="11"/>
        <color theme="1"/>
        <rFont val="Arial"/>
        <family val="2"/>
        <scheme val="minor"/>
      </rPr>
      <t xml:space="preserve"> (0.35 ACH)</t>
    </r>
  </si>
  <si>
    <t>Ventilation</t>
  </si>
  <si>
    <r>
      <t>Blower Door (CFM</t>
    </r>
    <r>
      <rPr>
        <b/>
        <vertAlign val="subscript"/>
        <sz val="11"/>
        <color theme="1"/>
        <rFont val="Arial"/>
        <family val="2"/>
        <scheme val="minor"/>
      </rPr>
      <t>50</t>
    </r>
    <r>
      <rPr>
        <b/>
        <sz val="11"/>
        <color theme="1"/>
        <rFont val="Arial"/>
        <family val="2"/>
        <scheme val="minor"/>
      </rPr>
      <t>):</t>
    </r>
  </si>
  <si>
    <r>
      <t>ACH</t>
    </r>
    <r>
      <rPr>
        <b/>
        <vertAlign val="subscript"/>
        <sz val="11"/>
        <color theme="1"/>
        <rFont val="Arial"/>
        <family val="2"/>
        <scheme val="minor"/>
      </rPr>
      <t>50</t>
    </r>
  </si>
  <si>
    <r>
      <t>ACH</t>
    </r>
    <r>
      <rPr>
        <b/>
        <vertAlign val="subscript"/>
        <sz val="11"/>
        <color theme="1"/>
        <rFont val="Arial"/>
        <family val="2"/>
        <scheme val="minor"/>
      </rPr>
      <t>n</t>
    </r>
  </si>
  <si>
    <t>Continuous CFM Requirement:</t>
  </si>
  <si>
    <t>Intermittent CFM Requirement:</t>
  </si>
  <si>
    <t>Fan Run Time Per Hour:</t>
  </si>
  <si>
    <t>Whole Building Ventilation Type:</t>
  </si>
  <si>
    <t>Duct System 1</t>
  </si>
  <si>
    <t>Duct System 2</t>
  </si>
  <si>
    <t>CAZ Testing</t>
  </si>
  <si>
    <t>CAZ 1</t>
  </si>
  <si>
    <t>CAZ 2</t>
  </si>
  <si>
    <t>CAZ 3</t>
  </si>
  <si>
    <t>CAZ 4</t>
  </si>
  <si>
    <t>Possible Incentive</t>
  </si>
  <si>
    <t>Infiltration, Ventilation and Duct Sealing Notes:</t>
  </si>
  <si>
    <t>CAZ Notes:</t>
  </si>
  <si>
    <t>Ventilation Calculations</t>
  </si>
  <si>
    <t>Whole Building Ventilation Calculations</t>
  </si>
  <si>
    <t>Information</t>
  </si>
  <si>
    <t>Cost Analysis</t>
  </si>
  <si>
    <t>Other Info</t>
  </si>
  <si>
    <t>Square Footage</t>
  </si>
  <si>
    <t>Ceiling Height (ft.)</t>
  </si>
  <si>
    <t>W Factor</t>
  </si>
  <si>
    <t>Exhaust Fan (watts)</t>
  </si>
  <si>
    <t>N-Value</t>
  </si>
  <si>
    <t>Volume (ft^2)</t>
  </si>
  <si>
    <t>NLA</t>
  </si>
  <si>
    <t>Hours/Year</t>
  </si>
  <si>
    <t>$/KWH</t>
  </si>
  <si>
    <t>Whole House Ventilation Requirement</t>
  </si>
  <si>
    <t>KWH/Year</t>
  </si>
  <si>
    <t>$/Therm</t>
  </si>
  <si>
    <t>Total Ventilation Rate CFM</t>
  </si>
  <si>
    <t>$/Year</t>
  </si>
  <si>
    <t>$/Gal (Oil)</t>
  </si>
  <si>
    <t>Data</t>
  </si>
  <si>
    <t xml:space="preserve">Start </t>
  </si>
  <si>
    <t>Finish</t>
  </si>
  <si>
    <t>Results</t>
  </si>
  <si>
    <t>Start</t>
  </si>
  <si>
    <t>Final</t>
  </si>
  <si>
    <t>Story Factor (s)</t>
  </si>
  <si>
    <t>ACH50</t>
  </si>
  <si>
    <t>CFM50</t>
  </si>
  <si>
    <t>ACHNatural</t>
  </si>
  <si>
    <t>Target CFM50</t>
  </si>
  <si>
    <t>CFMn</t>
  </si>
  <si>
    <t>Exist Whole Bldg. CFM</t>
  </si>
  <si>
    <t>CFMn +/- Local Ventilation</t>
  </si>
  <si>
    <t>ELA</t>
  </si>
  <si>
    <t>Vent Needed After Credit/Deficit</t>
  </si>
  <si>
    <t>Ventilation Deficit</t>
  </si>
  <si>
    <t>Kitchen Fan</t>
  </si>
  <si>
    <t>Air Sealing Calculations</t>
  </si>
  <si>
    <t>Window</t>
  </si>
  <si>
    <t>Total Kitchen Deficit</t>
  </si>
  <si>
    <t>Bath Fan 1</t>
  </si>
  <si>
    <t>Total Bath 1 Deficit</t>
  </si>
  <si>
    <t>Bath Fan 2</t>
  </si>
  <si>
    <t>Total Bath 2 Deficit</t>
  </si>
  <si>
    <t>Second Bath check</t>
  </si>
  <si>
    <t>Bath Fan 3</t>
  </si>
  <si>
    <t>Total Bath 3 Deficit</t>
  </si>
  <si>
    <t>Third Bath Check</t>
  </si>
  <si>
    <t>Bath Fan 4</t>
  </si>
  <si>
    <t>Total Bath 4 Deficit</t>
  </si>
  <si>
    <t>Fourth Bath Check</t>
  </si>
  <si>
    <t>Total Deficit/4</t>
  </si>
  <si>
    <t>Appendix 1</t>
  </si>
  <si>
    <t>Whole-House Ventilation Requirements</t>
  </si>
  <si>
    <t>Types of Ventilation Systems:</t>
  </si>
  <si>
    <t>Number of Bedrooms</t>
  </si>
  <si>
    <t>Run Time Calculations</t>
  </si>
  <si>
    <t>Floor Area (ft2)</t>
  </si>
  <si>
    <t>ref only</t>
  </si>
  <si>
    <t>Bathroom exhaust fan</t>
  </si>
  <si>
    <t>&lt; 500</t>
  </si>
  <si>
    <t>Supply air to return ducts</t>
  </si>
  <si>
    <t>501 - 1000</t>
  </si>
  <si>
    <t>Heat recovery</t>
  </si>
  <si>
    <t>1001 - 1500</t>
  </si>
  <si>
    <t>Kitchen exhaust fan</t>
  </si>
  <si>
    <t>1501 - 2000</t>
  </si>
  <si>
    <t>2001 - 2500</t>
  </si>
  <si>
    <t>2501 - 3000</t>
  </si>
  <si>
    <t>3001 - 3500</t>
  </si>
  <si>
    <t>3501 - 4000</t>
  </si>
  <si>
    <t>4001 - 4500</t>
  </si>
  <si>
    <t>4501 - 5000</t>
  </si>
  <si>
    <t>Appendix 3</t>
  </si>
  <si>
    <t>N- Values</t>
  </si>
  <si>
    <t>N-Values for CFMn to CFM50 Conversions</t>
  </si>
  <si>
    <t>Used in Name Manager in Entry Tab</t>
  </si>
  <si>
    <t>City/Station</t>
  </si>
  <si>
    <t>States Selection</t>
  </si>
  <si>
    <t>Idaho</t>
  </si>
  <si>
    <t>Montana</t>
  </si>
  <si>
    <t>Oregon</t>
  </si>
  <si>
    <t>Washington</t>
  </si>
  <si>
    <t>Alturas</t>
  </si>
  <si>
    <t>Arcata AP</t>
  </si>
  <si>
    <t>Bakersfield Meadows Field</t>
  </si>
  <si>
    <t>Beale AFB</t>
  </si>
  <si>
    <t>Bishop AP</t>
  </si>
  <si>
    <t>Blue Canyon AP</t>
  </si>
  <si>
    <t>Blythe Riverside Co AP</t>
  </si>
  <si>
    <t>Burbank-Glendale-Pasadena AP</t>
  </si>
  <si>
    <t>Camarillo (AWOS)</t>
  </si>
  <si>
    <t>Camp Pendleton MCAS</t>
  </si>
  <si>
    <t>Carlsbad/Palomar</t>
  </si>
  <si>
    <t>China Lake Naf</t>
  </si>
  <si>
    <t>Chino AP</t>
  </si>
  <si>
    <t>Chula Vista Brown Field NAAS</t>
  </si>
  <si>
    <t>Concord Concord-Buchanan Fld</t>
  </si>
  <si>
    <t>Crescent City Faa Ai</t>
  </si>
  <si>
    <t>Daggett Barstow-Daggett AP</t>
  </si>
  <si>
    <t>Edwards AFB</t>
  </si>
  <si>
    <t>Fresno Yosemite Intl AP</t>
  </si>
  <si>
    <t>Fullerton Municipal</t>
  </si>
  <si>
    <t>Hayward Air Term</t>
  </si>
  <si>
    <t>Imperial</t>
  </si>
  <si>
    <t>Jack Northrop Fld H</t>
  </si>
  <si>
    <t>Lancaster Gen Wm Fox Field</t>
  </si>
  <si>
    <t>Lemoore Reeves NAS</t>
  </si>
  <si>
    <t>Livermore Municipal</t>
  </si>
  <si>
    <t>Lompoc (AWOS)</t>
  </si>
  <si>
    <t>Long Beach Daugherty Fld</t>
  </si>
  <si>
    <t>Los Angeles Intl AP</t>
  </si>
  <si>
    <t>March AFB</t>
  </si>
  <si>
    <t>Merced/Macready Fld</t>
  </si>
  <si>
    <t>Modesto City-County AP</t>
  </si>
  <si>
    <t>Montague Siskiyou County AP</t>
  </si>
  <si>
    <t>Monterey Naf</t>
  </si>
  <si>
    <t>Mountain View Moffett Fld NAS</t>
  </si>
  <si>
    <t>Napa Co. AP</t>
  </si>
  <si>
    <t>Needles AP</t>
  </si>
  <si>
    <t>Oakland Metropolitan AP</t>
  </si>
  <si>
    <t>Oxnard AP</t>
  </si>
  <si>
    <t>Palm Springs Intl</t>
  </si>
  <si>
    <t>Palm Springs Thermal AP</t>
  </si>
  <si>
    <t>Palmdale AP</t>
  </si>
  <si>
    <t>Paso Robles Municipal AP</t>
  </si>
  <si>
    <t>Point Mugu Nf</t>
  </si>
  <si>
    <t>Portville (AWOS)</t>
  </si>
  <si>
    <t>Red Bluff Municipal AP</t>
  </si>
  <si>
    <t>Redding Municipal AP</t>
  </si>
  <si>
    <t>Riverside Muni</t>
  </si>
  <si>
    <t>Sacramento Executive AP</t>
  </si>
  <si>
    <t>Sacramento Metropolitan AP</t>
  </si>
  <si>
    <t>Salinas Municipal AP</t>
  </si>
  <si>
    <t>San Diego Lindbergh Field</t>
  </si>
  <si>
    <t>San Diego Miramar NAS</t>
  </si>
  <si>
    <t>San Diego North Island NAS</t>
  </si>
  <si>
    <t>San Diego/Montgomery</t>
  </si>
  <si>
    <t>San Francisco Intl AP</t>
  </si>
  <si>
    <t>San Jose Intl AP</t>
  </si>
  <si>
    <t>San Luis Co Rgnl</t>
  </si>
  <si>
    <t>Sandberg</t>
  </si>
  <si>
    <t>Santa Ana John Wayne AP</t>
  </si>
  <si>
    <t>Santa Barbara Municipal AP</t>
  </si>
  <si>
    <t>Santa Maria Public AP</t>
  </si>
  <si>
    <t>Santa Monica Muni</t>
  </si>
  <si>
    <t>Santa Rosa (AWOS)</t>
  </si>
  <si>
    <t>South Lake Tahoe</t>
  </si>
  <si>
    <t>Stockton Metropolitan AP</t>
  </si>
  <si>
    <t>Travis Field AFB</t>
  </si>
  <si>
    <t>Truckee-Tahoe</t>
  </si>
  <si>
    <t>Twenty-nine Palms</t>
  </si>
  <si>
    <t>Ukiah Municipal AP</t>
  </si>
  <si>
    <t>Van Nuys AP</t>
  </si>
  <si>
    <t>Visalia Muni (AWOS)</t>
  </si>
  <si>
    <t>Yuba Co</t>
  </si>
  <si>
    <t>Boise Air Terminal</t>
  </si>
  <si>
    <t>Lewiston Nez Perce</t>
  </si>
  <si>
    <t>Pocatello Regional AP</t>
  </si>
  <si>
    <t>Billings Logan Intl AP</t>
  </si>
  <si>
    <t>Cut Bank Muni AP</t>
  </si>
  <si>
    <t>Dillon</t>
  </si>
  <si>
    <t>Great Falls Intl AP</t>
  </si>
  <si>
    <t>Helena Regional AP</t>
  </si>
  <si>
    <t>Lewiston Muni AP</t>
  </si>
  <si>
    <t>Missoula Intl AP</t>
  </si>
  <si>
    <t>Astoria Regional AP</t>
  </si>
  <si>
    <t>Medford Rouge Valley</t>
  </si>
  <si>
    <t>North Bend Municipal AP</t>
  </si>
  <si>
    <t>Portland International AP</t>
  </si>
  <si>
    <t>Redmond Roberts Field</t>
  </si>
  <si>
    <t>Salem McNary Field</t>
  </si>
  <si>
    <t>Olympia AP</t>
  </si>
  <si>
    <t>Seattle Boeing Field</t>
  </si>
  <si>
    <t>Spokane International AP</t>
  </si>
  <si>
    <t>Yakima Air Terminal</t>
  </si>
  <si>
    <t>Natural Ventilation Credit (CFM) = Blower Door Measurement (CFM50) ÷ N</t>
  </si>
  <si>
    <t>Number of Stories</t>
  </si>
  <si>
    <t>Zone</t>
  </si>
  <si>
    <t>Lookup Table 1</t>
  </si>
  <si>
    <t>kWh cost per State</t>
  </si>
  <si>
    <t>$Kwh2010</t>
  </si>
  <si>
    <t>Alabama</t>
  </si>
  <si>
    <t>Alaska</t>
  </si>
  <si>
    <t>Alberta</t>
  </si>
  <si>
    <t>Arizona</t>
  </si>
  <si>
    <t>Arkansas</t>
  </si>
  <si>
    <t>Brit Columbia</t>
  </si>
  <si>
    <t>Colorado</t>
  </si>
  <si>
    <t>Connecticut</t>
  </si>
  <si>
    <t>Delaware</t>
  </si>
  <si>
    <t>Florida</t>
  </si>
  <si>
    <t>Georgia</t>
  </si>
  <si>
    <t>Hawaii</t>
  </si>
  <si>
    <t>Illinois</t>
  </si>
  <si>
    <t>Indiana</t>
  </si>
  <si>
    <t>Iowa</t>
  </si>
  <si>
    <t>Kansas</t>
  </si>
  <si>
    <t>Kentucky</t>
  </si>
  <si>
    <t>Louisiana</t>
  </si>
  <si>
    <t>Maine</t>
  </si>
  <si>
    <t>Manitoba</t>
  </si>
  <si>
    <t>Maryland</t>
  </si>
  <si>
    <t>Massachusetts</t>
  </si>
  <si>
    <t>Michigan</t>
  </si>
  <si>
    <t>Minnesota</t>
  </si>
  <si>
    <t>Mississippi</t>
  </si>
  <si>
    <t>Missouri</t>
  </si>
  <si>
    <t>Nebraska</t>
  </si>
  <si>
    <t>Nevada</t>
  </si>
  <si>
    <t>New Brunswick</t>
  </si>
  <si>
    <t>Newfoundland</t>
  </si>
  <si>
    <t>New Hampshire</t>
  </si>
  <si>
    <t>New Jersey</t>
  </si>
  <si>
    <t>New Mexico</t>
  </si>
  <si>
    <t>New York</t>
  </si>
  <si>
    <t>No Carolina</t>
  </si>
  <si>
    <t>No Dakota</t>
  </si>
  <si>
    <t>Nova Scotia</t>
  </si>
  <si>
    <t>NWTerritories</t>
  </si>
  <si>
    <t>Ohio</t>
  </si>
  <si>
    <t>Oklahoma</t>
  </si>
  <si>
    <t>Ontario</t>
  </si>
  <si>
    <t>PEI</t>
  </si>
  <si>
    <t>Pennsylvania</t>
  </si>
  <si>
    <t>PuertoRico</t>
  </si>
  <si>
    <t>Quebec</t>
  </si>
  <si>
    <t>Rhode Island</t>
  </si>
  <si>
    <t>Saskatchewan</t>
  </si>
  <si>
    <t>So Carolina</t>
  </si>
  <si>
    <t>So Dakota</t>
  </si>
  <si>
    <t>Tennessee</t>
  </si>
  <si>
    <t>Texas</t>
  </si>
  <si>
    <t>Utah</t>
  </si>
  <si>
    <t>Vermont</t>
  </si>
  <si>
    <t>Virginia</t>
  </si>
  <si>
    <t>West Virginia</t>
  </si>
  <si>
    <t>Wisconsin</t>
  </si>
  <si>
    <t>Wyoming</t>
  </si>
  <si>
    <t>Yukon</t>
  </si>
  <si>
    <t>LookUp Table 2</t>
  </si>
  <si>
    <t>W-Values</t>
  </si>
  <si>
    <t>City or Airport</t>
  </si>
  <si>
    <t>Anniston Metro AP</t>
  </si>
  <si>
    <t>Auburn-Opelika AP</t>
  </si>
  <si>
    <t>Bimingham Municipal AP</t>
  </si>
  <si>
    <t>Cairns Field Fort  Rucker</t>
  </si>
  <si>
    <t>Dothan Municipal AP</t>
  </si>
  <si>
    <t>Gadsen Muni (AWOS)</t>
  </si>
  <si>
    <t>Huntsville Intl/Jones Field</t>
  </si>
  <si>
    <t>Maxwell AFB</t>
  </si>
  <si>
    <t>Mobile Downtown AP</t>
  </si>
  <si>
    <t>Mobile Regional AP</t>
  </si>
  <si>
    <t>Montgomery Dannelly Field</t>
  </si>
  <si>
    <t>Muscle Shoals Regional AP</t>
  </si>
  <si>
    <t>Troy AF</t>
  </si>
  <si>
    <t>Tuscaloosa Municipal AP</t>
  </si>
  <si>
    <t>Adak NAS</t>
  </si>
  <si>
    <t>Ambler</t>
  </si>
  <si>
    <t>Anaktuvuk Pass</t>
  </si>
  <si>
    <t>Anchorage Intl AP</t>
  </si>
  <si>
    <t>Anchorage Merrill Field</t>
  </si>
  <si>
    <t>Anchorage/Elmendorf</t>
  </si>
  <si>
    <t>Aniak AP</t>
  </si>
  <si>
    <t>Annette Island AP</t>
  </si>
  <si>
    <t>Anvik</t>
  </si>
  <si>
    <t>Barrow W. Post Rogers AP</t>
  </si>
  <si>
    <t>Bethel AP</t>
  </si>
  <si>
    <t>Bettles Field</t>
  </si>
  <si>
    <t>Big Delta Allen AAF</t>
  </si>
  <si>
    <t>Big River Lake</t>
  </si>
  <si>
    <t>Birchwood</t>
  </si>
  <si>
    <t>Chulitna</t>
  </si>
  <si>
    <t>Cold Bay AP</t>
  </si>
  <si>
    <t>Cordova</t>
  </si>
  <si>
    <t>Deadhorse</t>
  </si>
  <si>
    <t>Dillingham (AMOS)</t>
  </si>
  <si>
    <t>Dutch Harbor</t>
  </si>
  <si>
    <t>Emmonak</t>
  </si>
  <si>
    <t>Fairbanks Internl AP</t>
  </si>
  <si>
    <t>Fairbanks/Eielson AP</t>
  </si>
  <si>
    <t>Fort Yukon</t>
  </si>
  <si>
    <t>Gambell</t>
  </si>
  <si>
    <t>Gulkana Intermediate Field</t>
  </si>
  <si>
    <t>Gustavus</t>
  </si>
  <si>
    <t>Hayes River</t>
  </si>
  <si>
    <t>Healy River AP</t>
  </si>
  <si>
    <t>Homer AP</t>
  </si>
  <si>
    <t>Hoonah</t>
  </si>
  <si>
    <t>Hooper Bay</t>
  </si>
  <si>
    <t>Huslia</t>
  </si>
  <si>
    <t>Hydaburg Seaplane</t>
  </si>
  <si>
    <t>Iliamna AP</t>
  </si>
  <si>
    <t>Juneau Int'l AP</t>
  </si>
  <si>
    <t>Kake Seaplane Base</t>
  </si>
  <si>
    <t>Kenai Municipal AP</t>
  </si>
  <si>
    <t>Ketchikan Int'l AP</t>
  </si>
  <si>
    <t>King Salmon AP</t>
  </si>
  <si>
    <t>Kodiak AP</t>
  </si>
  <si>
    <t>Kotzebue Ralph Wein Mem.</t>
  </si>
  <si>
    <t>Lake Hood Seaplane</t>
  </si>
  <si>
    <t>McGrath AP</t>
  </si>
  <si>
    <t>Mekoryuk</t>
  </si>
  <si>
    <t>Middleton Island Aut</t>
  </si>
  <si>
    <t>Minchumina</t>
  </si>
  <si>
    <t>Nenana Municipal AP</t>
  </si>
  <si>
    <t>Nome Municipal AP</t>
  </si>
  <si>
    <t>Northway AP</t>
  </si>
  <si>
    <t>Palmer Municipal</t>
  </si>
  <si>
    <t>Petersburg</t>
  </si>
  <si>
    <t>Point Hope (AWOS)</t>
  </si>
  <si>
    <t>Port Heiden</t>
  </si>
  <si>
    <t>Saint Mary's (AWOS)</t>
  </si>
  <si>
    <t>Sand Point</t>
  </si>
  <si>
    <t>Savoonga</t>
  </si>
  <si>
    <t>Selawik</t>
  </si>
  <si>
    <t>Seward</t>
  </si>
  <si>
    <t>Shemya AFB</t>
  </si>
  <si>
    <t>Shishmaref (AWOS)</t>
  </si>
  <si>
    <t>Sitka Japonski AP</t>
  </si>
  <si>
    <t>Skagway AP</t>
  </si>
  <si>
    <t>Sleetmute</t>
  </si>
  <si>
    <t>Soldotna</t>
  </si>
  <si>
    <t>St. Paul Island AP</t>
  </si>
  <si>
    <t>Talkeetna State AP</t>
  </si>
  <si>
    <t>Tanana Ralph M Calhoun AP</t>
  </si>
  <si>
    <t>Togiac Village (AWOS)</t>
  </si>
  <si>
    <t>Unalakeet Field</t>
  </si>
  <si>
    <t>Valdez Pioneer Field</t>
  </si>
  <si>
    <t>Valdez WSO</t>
  </si>
  <si>
    <t>Whittier</t>
  </si>
  <si>
    <t>Wrangell</t>
  </si>
  <si>
    <t>Yakutat State AP</t>
  </si>
  <si>
    <t>Arazona</t>
  </si>
  <si>
    <t>Casa Granda</t>
  </si>
  <si>
    <t>Davis Monthan AFB</t>
  </si>
  <si>
    <t>Deer Valley/Phoenix</t>
  </si>
  <si>
    <t>Douglas Intl AP</t>
  </si>
  <si>
    <t>Flagstaff Pulliam AP</t>
  </si>
  <si>
    <t>Grand Canyon Natl P</t>
  </si>
  <si>
    <t>Kingman (AMOS)</t>
  </si>
  <si>
    <t>Luke AFB</t>
  </si>
  <si>
    <t>Page Muni (AMOS)</t>
  </si>
  <si>
    <t>Phoenix Sky Harbor AP</t>
  </si>
  <si>
    <t>Prescott Love Field</t>
  </si>
  <si>
    <t>Scottsdale Muni AP</t>
  </si>
  <si>
    <t>Show Low Muni</t>
  </si>
  <si>
    <t>Stafford (AMOS)</t>
  </si>
  <si>
    <t>Tuscon Intl AP</t>
  </si>
  <si>
    <t>Winslow Muni AP</t>
  </si>
  <si>
    <t>Yuma Intl AP</t>
  </si>
  <si>
    <t>Yuma MCAS</t>
  </si>
  <si>
    <t>Batesville (AWOS)</t>
  </si>
  <si>
    <t>Bentonville (AWOS)</t>
  </si>
  <si>
    <t>El Dorado Goodwin Fld</t>
  </si>
  <si>
    <t>Fayettevielle Drake Fld</t>
  </si>
  <si>
    <t>Flippin (AWOS)</t>
  </si>
  <si>
    <t>Fort Smith Regional AP</t>
  </si>
  <si>
    <t>Harrison FAA AP</t>
  </si>
  <si>
    <t>Jonesboro Muni</t>
  </si>
  <si>
    <t>Little Rock Adams Field</t>
  </si>
  <si>
    <t>Little Rock AFB</t>
  </si>
  <si>
    <t>Memorial Field</t>
  </si>
  <si>
    <t>Pine Bluff FAA AP</t>
  </si>
  <si>
    <t>Rogers (AWOS)</t>
  </si>
  <si>
    <t>Siloam Spring (AWOS)</t>
  </si>
  <si>
    <t>Springdale Muni</t>
  </si>
  <si>
    <t>Stuttgart (AWOS)</t>
  </si>
  <si>
    <t>Texarkana Webb Field</t>
  </si>
  <si>
    <t>Walnut Ridge (AWOS)</t>
  </si>
  <si>
    <t>Burbank-Glendale-Passadena AP</t>
  </si>
  <si>
    <t>San Diego/Montgomer</t>
  </si>
  <si>
    <t>Twentynine Palms</t>
  </si>
  <si>
    <t>Akron Washington Co AP</t>
  </si>
  <si>
    <t>Alamosa San Luis Valley Rgnl</t>
  </si>
  <si>
    <t>Aspen Pitkin Co. Sar</t>
  </si>
  <si>
    <t>Aurora Buckley Field ANGB</t>
  </si>
  <si>
    <t>Broomfield/Jeffco</t>
  </si>
  <si>
    <t>Colorado Springs Muni AP</t>
  </si>
  <si>
    <t>Cortez/Montezuma Co</t>
  </si>
  <si>
    <t>Craig-Moffat</t>
  </si>
  <si>
    <t>Denver Intl AP</t>
  </si>
  <si>
    <t>Denver/Centennial</t>
  </si>
  <si>
    <t>Durango/La Plata Co</t>
  </si>
  <si>
    <t>Eagle County AP</t>
  </si>
  <si>
    <t>Fort Collins (AWOS)</t>
  </si>
  <si>
    <t>Grand Junction Walker Field</t>
  </si>
  <si>
    <t>Greeley/Weld (AWOS)</t>
  </si>
  <si>
    <t>Gunnison Co. (AWOS)</t>
  </si>
  <si>
    <t>Hayden/Yampa (AWOS)</t>
  </si>
  <si>
    <t>La Junta Municipal AP</t>
  </si>
  <si>
    <t>Lamar Municipal</t>
  </si>
  <si>
    <t>Leadville/Lake Co.</t>
  </si>
  <si>
    <t>Limon</t>
  </si>
  <si>
    <t>Montrose Co AP</t>
  </si>
  <si>
    <t>Pueblo Memorial AP</t>
  </si>
  <si>
    <t>Rifle/Garfield Rgnl</t>
  </si>
  <si>
    <t>Trinidad Las Animas County AP</t>
  </si>
  <si>
    <t>Conneticut</t>
  </si>
  <si>
    <t>Bridgeport Sikorsky Memorial</t>
  </si>
  <si>
    <t>Danbury Municipal</t>
  </si>
  <si>
    <t>Groton New London AP</t>
  </si>
  <si>
    <t>Hartford Bradley Intl AP</t>
  </si>
  <si>
    <t>Hartford Brainard Fd</t>
  </si>
  <si>
    <t>New Haven Tweed AP</t>
  </si>
  <si>
    <t>Oxford (AWOS)</t>
  </si>
  <si>
    <t>Dover AFB</t>
  </si>
  <si>
    <t>Wilmington New Castle Cnt AP</t>
  </si>
  <si>
    <t>Crestview Bob Sikes AP</t>
  </si>
  <si>
    <t>Daytona Beach Intl AP</t>
  </si>
  <si>
    <t xml:space="preserve">Fort Lauderdale  </t>
  </si>
  <si>
    <t>Fort Lauderdale Hollywood Int</t>
  </si>
  <si>
    <t>Fort Myers Page Field</t>
  </si>
  <si>
    <t>Gainesville Regional AP</t>
  </si>
  <si>
    <t>Homestead AFB</t>
  </si>
  <si>
    <t>Jacksonville Intl AP</t>
  </si>
  <si>
    <t>Jacksonville NAS</t>
  </si>
  <si>
    <t>Jacksonville/Craig</t>
  </si>
  <si>
    <t>Key West Intl AP</t>
  </si>
  <si>
    <t>Key West NAS</t>
  </si>
  <si>
    <t>Lakeland Linder Rgn</t>
  </si>
  <si>
    <t>MacDill AFB</t>
  </si>
  <si>
    <t>Marathon AP</t>
  </si>
  <si>
    <t>Mayport Ns</t>
  </si>
  <si>
    <t>Melbourne Regional AP</t>
  </si>
  <si>
    <t>Miami Intl AP</t>
  </si>
  <si>
    <t>Miami/Kendall- Tamia</t>
  </si>
  <si>
    <t>Miami/Opa Locka</t>
  </si>
  <si>
    <t>Naples Municipal</t>
  </si>
  <si>
    <t>NASA Shuttle Fclty</t>
  </si>
  <si>
    <t>Ocala Muni (AWOS)</t>
  </si>
  <si>
    <t>Orlando Executive AP</t>
  </si>
  <si>
    <t>Orlando Intl AP</t>
  </si>
  <si>
    <t>Orlando Sanford AP</t>
  </si>
  <si>
    <t>Panama City Bay Co</t>
  </si>
  <si>
    <t>Pensacola Forest Sherman NAS</t>
  </si>
  <si>
    <t>Pensacola Regional AP</t>
  </si>
  <si>
    <t>Sarasota Bradenton</t>
  </si>
  <si>
    <t>Southwest Florida I</t>
  </si>
  <si>
    <t>St. Lucie Co Intl</t>
  </si>
  <si>
    <t>St. Petersburg Albert Whitted</t>
  </si>
  <si>
    <t>St. Petersburg Clear</t>
  </si>
  <si>
    <t>Tallahassee Refional AP</t>
  </si>
  <si>
    <t>Tampa Intl AP</t>
  </si>
  <si>
    <t>Tyndall AFB</t>
  </si>
  <si>
    <t>Valparaiso Elgin AFB</t>
  </si>
  <si>
    <t>Valparaiso Hurlburt</t>
  </si>
  <si>
    <t>Vero Beach Municipal AP</t>
  </si>
  <si>
    <t>West Palm Beach Intl AP</t>
  </si>
  <si>
    <t>Whiting Field NAAS</t>
  </si>
  <si>
    <t>Albany Dougherty County AP</t>
  </si>
  <si>
    <t>Alma Bacon Cnty AP</t>
  </si>
  <si>
    <t>Athens Ben Epps AP</t>
  </si>
  <si>
    <t>Atlanta Harsfield Intl AP</t>
  </si>
  <si>
    <t>Augusta Bush Field</t>
  </si>
  <si>
    <t>Brunswick Golden Is</t>
  </si>
  <si>
    <t>Brunswick Malcolm McKinnon AP</t>
  </si>
  <si>
    <t>Columbus Metropolitan AP</t>
  </si>
  <si>
    <t>Dekalb Peachtree</t>
  </si>
  <si>
    <t>Fort Benning Lawson</t>
  </si>
  <si>
    <t>Fulton Co AP Brow</t>
  </si>
  <si>
    <t>Hunter AAF</t>
  </si>
  <si>
    <t>Macon Middle GA Regional AP</t>
  </si>
  <si>
    <t>Marrietta Dobbins AFB</t>
  </si>
  <si>
    <t>Moody AFB/Valdosta</t>
  </si>
  <si>
    <t>Rome R B Russell AP</t>
  </si>
  <si>
    <t>Savannah Intl AP</t>
  </si>
  <si>
    <t>Valdosta Wb AP</t>
  </si>
  <si>
    <t>Warner Robbins AFB</t>
  </si>
  <si>
    <t>Barbers Point NAS</t>
  </si>
  <si>
    <t>Hilo Intl AP</t>
  </si>
  <si>
    <t>Honolulu Intl AP</t>
  </si>
  <si>
    <t>Kahului AP</t>
  </si>
  <si>
    <t>Kaneohe Bay MCAS</t>
  </si>
  <si>
    <t>Kapalua</t>
  </si>
  <si>
    <t>Kono Intl At Keahol</t>
  </si>
  <si>
    <t>Lanai</t>
  </si>
  <si>
    <t>Lihue AP</t>
  </si>
  <si>
    <t>Molokai (AMOS)</t>
  </si>
  <si>
    <t>Boise Air Terminal (UO)</t>
  </si>
  <si>
    <t>Burley Municipal AP</t>
  </si>
  <si>
    <t>Caldwell (AWOS)</t>
  </si>
  <si>
    <t>Coeur D'Alene (AWOS)</t>
  </si>
  <si>
    <t>Hailey/Friedman Mem</t>
  </si>
  <si>
    <t>Idaho Falls Fanning Field</t>
  </si>
  <si>
    <t>Joslin Fld Magic Va</t>
  </si>
  <si>
    <t>Lewiston Nez Perce Cnty AP</t>
  </si>
  <si>
    <t>Malad City</t>
  </si>
  <si>
    <t>Mountain Home AFB</t>
  </si>
  <si>
    <t>Salmon/Lemhi (AWOS)</t>
  </si>
  <si>
    <t>Soda Springs/Tigert</t>
  </si>
  <si>
    <t>Aurora Municipal</t>
  </si>
  <si>
    <t>Belleville Scott AFB</t>
  </si>
  <si>
    <t>Cahokia/St. Louis</t>
  </si>
  <si>
    <t>Central Illinois RG</t>
  </si>
  <si>
    <t>Chicago Midway AP</t>
  </si>
  <si>
    <t>Chicago Ohare Intl AP</t>
  </si>
  <si>
    <t>Chicago/Waukegan</t>
  </si>
  <si>
    <t>Decatur</t>
  </si>
  <si>
    <t>Marion Regional</t>
  </si>
  <si>
    <t>Moline Quad City Intl AP</t>
  </si>
  <si>
    <t>Mount Vernon (AWOS)</t>
  </si>
  <si>
    <t>Peoria Greater Peoria AP</t>
  </si>
  <si>
    <t>Quincy Muni Baldwin FLD</t>
  </si>
  <si>
    <t>Rockford Greater Rockford AP</t>
  </si>
  <si>
    <t>Southern Illinois</t>
  </si>
  <si>
    <t>Springfield Capital AP</t>
  </si>
  <si>
    <t>Sterling Rockfalls</t>
  </si>
  <si>
    <t>Univ of Illinois Wi</t>
  </si>
  <si>
    <t>W. Chicago/Du Page</t>
  </si>
  <si>
    <t>Delaware Co Johnson</t>
  </si>
  <si>
    <t>Evansville Regional AP</t>
  </si>
  <si>
    <t>Fort Wayne Intl AP</t>
  </si>
  <si>
    <t>Grissom Arb</t>
  </si>
  <si>
    <t>Huntingburg</t>
  </si>
  <si>
    <t>Indianapolis Intl AP</t>
  </si>
  <si>
    <t>Lafayette Purdue Univ. AP</t>
  </si>
  <si>
    <t>Monroe Co</t>
  </si>
  <si>
    <t>South Bend Michiana Rgnl AP</t>
  </si>
  <si>
    <t>Terre Haute Hulman Rgional AP</t>
  </si>
  <si>
    <t>Algona</t>
  </si>
  <si>
    <t>Atlantic</t>
  </si>
  <si>
    <t>Boone Muni</t>
  </si>
  <si>
    <t>Burlington Muni AP</t>
  </si>
  <si>
    <t>Carroll</t>
  </si>
  <si>
    <t>Cedar Rapids Municipal AP</t>
  </si>
  <si>
    <t>Chariton</t>
  </si>
  <si>
    <t>Charles City</t>
  </si>
  <si>
    <t>Clarinda</t>
  </si>
  <si>
    <t>Clinton Muni (AWOS)</t>
  </si>
  <si>
    <t>Council Bluffs</t>
  </si>
  <si>
    <t>Creston</t>
  </si>
  <si>
    <t>Decorah</t>
  </si>
  <si>
    <t>Denison</t>
  </si>
  <si>
    <t>Des Moines Intl AP</t>
  </si>
  <si>
    <t>Dubuque Regional AP</t>
  </si>
  <si>
    <t>Estherville Muni</t>
  </si>
  <si>
    <t>Fair Field</t>
  </si>
  <si>
    <t>Fort Dodge (AWOS)</t>
  </si>
  <si>
    <t>Fort Madison</t>
  </si>
  <si>
    <t>Keokuk Muni</t>
  </si>
  <si>
    <t>Knoxville</t>
  </si>
  <si>
    <t>Le Mars</t>
  </si>
  <si>
    <t>Mason City Municipal AP</t>
  </si>
  <si>
    <t>Monticello Muni</t>
  </si>
  <si>
    <t>Muscatine</t>
  </si>
  <si>
    <t>Newton Muni</t>
  </si>
  <si>
    <t>Oelwen</t>
  </si>
  <si>
    <t>Orange City</t>
  </si>
  <si>
    <t>Ottumwa Industrial AP</t>
  </si>
  <si>
    <t>Red Oak</t>
  </si>
  <si>
    <t>Sheldon</t>
  </si>
  <si>
    <t>Shenandoah Muni</t>
  </si>
  <si>
    <t>Sioux City Sioux Gateway</t>
  </si>
  <si>
    <t>Storm Lake</t>
  </si>
  <si>
    <t>Waterloo Municipal AP</t>
  </si>
  <si>
    <t>Webster City</t>
  </si>
  <si>
    <t>Chanute Martin Johnson AP</t>
  </si>
  <si>
    <t>Concordia Blosser Muni AP</t>
  </si>
  <si>
    <t>Dodge City Regional AP</t>
  </si>
  <si>
    <t>Emporia Municipal AP</t>
  </si>
  <si>
    <t>Fort Riley Marshall AAF</t>
  </si>
  <si>
    <t>Garden City Municipal AP</t>
  </si>
  <si>
    <t>Goodland Renner Field</t>
  </si>
  <si>
    <t>Great Bend (AWOS)</t>
  </si>
  <si>
    <t>Hays Muni (AWOS)</t>
  </si>
  <si>
    <t>Hill City Municipal AP</t>
  </si>
  <si>
    <t>Hutchinson Municipal AP</t>
  </si>
  <si>
    <t>Liberal Muni</t>
  </si>
  <si>
    <t>Manhattan Rgnl</t>
  </si>
  <si>
    <t>McConnell AFB</t>
  </si>
  <si>
    <t>Newton (AWOS)</t>
  </si>
  <si>
    <t>Olathe Johnson Co Industrial</t>
  </si>
  <si>
    <t>Olathe/Johnson Co</t>
  </si>
  <si>
    <t>Russell Municipal AP</t>
  </si>
  <si>
    <t>Salina Municipal AP</t>
  </si>
  <si>
    <t>Topeka Forbes Field</t>
  </si>
  <si>
    <t>Topeka Municipal AP</t>
  </si>
  <si>
    <t>Wichita Mid-Continent AP</t>
  </si>
  <si>
    <t>Wichita/Col. Jabara</t>
  </si>
  <si>
    <t xml:space="preserve">Bowling Green Warren Co </t>
  </si>
  <si>
    <t>Cincinnati Norther Ky AP</t>
  </si>
  <si>
    <t>Fort Campbell AAF</t>
  </si>
  <si>
    <t>Fort Knox Godman AAF</t>
  </si>
  <si>
    <t>Henderson City</t>
  </si>
  <si>
    <t>Jackson Julian Carroll AP</t>
  </si>
  <si>
    <t>Lexington Bluegrass AP</t>
  </si>
  <si>
    <t>London-Corbin AP</t>
  </si>
  <si>
    <t>Louisville Bowman Field</t>
  </si>
  <si>
    <t>Louisville Standiford Field</t>
  </si>
  <si>
    <t>Paducah Barkley Reg AP</t>
  </si>
  <si>
    <t>Somerset (AWOS)</t>
  </si>
  <si>
    <t>Alexandria Esler Reg AP</t>
  </si>
  <si>
    <t>Barksdale AFB</t>
  </si>
  <si>
    <t>Baton Rouge Ryan AP</t>
  </si>
  <si>
    <t>Fort Polk AAF</t>
  </si>
  <si>
    <t>Houma-Terrebonne</t>
  </si>
  <si>
    <t>Lafayette Regional AP</t>
  </si>
  <si>
    <t>Lake Charles Regional AP</t>
  </si>
  <si>
    <t>Lake Charles Wb AP</t>
  </si>
  <si>
    <t>Monroe Regional AP</t>
  </si>
  <si>
    <t>New Iberia NAAS</t>
  </si>
  <si>
    <t>New Orleans Alvin Callender F</t>
  </si>
  <si>
    <t>New Orleans Intl AP</t>
  </si>
  <si>
    <t>New Orleans Lakefront AP</t>
  </si>
  <si>
    <t>Patterson Memorial</t>
  </si>
  <si>
    <t>Shreveport Downtown</t>
  </si>
  <si>
    <t>Shreveport Refional AP</t>
  </si>
  <si>
    <t>Auburn-Lewiston</t>
  </si>
  <si>
    <t>Augusta Airport</t>
  </si>
  <si>
    <t>Bangor Intl AP</t>
  </si>
  <si>
    <t>Bar Harbor (AWOS)</t>
  </si>
  <si>
    <t>Brunswick NAS</t>
  </si>
  <si>
    <t>Caribou Muni AP</t>
  </si>
  <si>
    <t>Houlton Intl AP</t>
  </si>
  <si>
    <t>Millinocket Muni AP</t>
  </si>
  <si>
    <t>Northern Aroostook</t>
  </si>
  <si>
    <t>Portland Intl Jetport</t>
  </si>
  <si>
    <t>Presque Isle Muni</t>
  </si>
  <si>
    <t>Rockland/Knox (AWOS)</t>
  </si>
  <si>
    <t>Sanford Muni (AWOS)</t>
  </si>
  <si>
    <t>Waterville (AWOS)</t>
  </si>
  <si>
    <t>Wiscasset</t>
  </si>
  <si>
    <t>Andrews AFB</t>
  </si>
  <si>
    <t>Baltimore Blt-Washington Intl</t>
  </si>
  <si>
    <t>Hagerstown Rgnl Ric</t>
  </si>
  <si>
    <t>Patuxent River NAS</t>
  </si>
  <si>
    <t>Salisbury Wicomico Co AP</t>
  </si>
  <si>
    <t>Mass.</t>
  </si>
  <si>
    <t>Barnstable Muni Boa</t>
  </si>
  <si>
    <t>Beverly Muni</t>
  </si>
  <si>
    <t>Boston Logan Intl AP</t>
  </si>
  <si>
    <t>Chicopee Falls Westo</t>
  </si>
  <si>
    <t>Lawrence  Muni</t>
  </si>
  <si>
    <t>Marthas Vineyard</t>
  </si>
  <si>
    <t>Nantucket Memorial AP</t>
  </si>
  <si>
    <t>New Bedford Regional</t>
  </si>
  <si>
    <t>North Adams</t>
  </si>
  <si>
    <t>Norwood Memorial</t>
  </si>
  <si>
    <t>Otis ANGBb</t>
  </si>
  <si>
    <t>Plymouth Muni</t>
  </si>
  <si>
    <t>Provincetown (AWOS)</t>
  </si>
  <si>
    <t>Westfield Barnes Muni AP</t>
  </si>
  <si>
    <t>Worcester Regional AP</t>
  </si>
  <si>
    <t>Alpena County Regional AP</t>
  </si>
  <si>
    <t>Ann Arbor Muni</t>
  </si>
  <si>
    <t>Battle Creek Kellogg AP</t>
  </si>
  <si>
    <t>Benton Harbor/Ross</t>
  </si>
  <si>
    <t>Cadillac Wexford Co AP</t>
  </si>
  <si>
    <t>Chippewa Co Intl</t>
  </si>
  <si>
    <t>Detroit City AP</t>
  </si>
  <si>
    <t>Detroit Metropolitan AP</t>
  </si>
  <si>
    <t>Detroit Willow Run AP</t>
  </si>
  <si>
    <t>Escanaba (AWOS)</t>
  </si>
  <si>
    <t>Flint Bishop Intl AP</t>
  </si>
  <si>
    <t>Grand Rapids Kent Count Intl</t>
  </si>
  <si>
    <t>Hancock Houghton Co AP</t>
  </si>
  <si>
    <t>Houghton Lake Roscommon Co AP</t>
  </si>
  <si>
    <t>Howell</t>
  </si>
  <si>
    <t>Iron Mountain/Ford</t>
  </si>
  <si>
    <t>Ironwood (AWOS)</t>
  </si>
  <si>
    <t>Jackson Reynolds Field</t>
  </si>
  <si>
    <t>Kalamazoo Battle Creek</t>
  </si>
  <si>
    <t>Lansing Capital City AP</t>
  </si>
  <si>
    <t>Manistee (AWOS)</t>
  </si>
  <si>
    <t>Menominee (AWOS)</t>
  </si>
  <si>
    <t>Mount Clemens Selfridge Fld</t>
  </si>
  <si>
    <t>Muskegon County AP</t>
  </si>
  <si>
    <t>Oakland Co Intl</t>
  </si>
  <si>
    <t>Oscoda Wurtsmith AFB</t>
  </si>
  <si>
    <t>Pellston Emmet County AP</t>
  </si>
  <si>
    <t>Saginaw Tri-City Intl AP</t>
  </si>
  <si>
    <t>Sault Ste. Marie Sanderson Fie</t>
  </si>
  <si>
    <t>St. Clair County Intl</t>
  </si>
  <si>
    <t>Traverse City Cherry Capital</t>
  </si>
  <si>
    <t>MN</t>
  </si>
  <si>
    <t>Aitkin Ndb (AWOS)</t>
  </si>
  <si>
    <t>Albert Lea (AWOS)</t>
  </si>
  <si>
    <t>Alexandria Muni AP</t>
  </si>
  <si>
    <t>Austin Muni</t>
  </si>
  <si>
    <t>Baudette Intl AP</t>
  </si>
  <si>
    <t>Bemidji Muni</t>
  </si>
  <si>
    <t>Benson Muni</t>
  </si>
  <si>
    <t>Brainerd/Wieland</t>
  </si>
  <si>
    <t>Cambridge Muni</t>
  </si>
  <si>
    <t>Cloquet (AWOS)</t>
  </si>
  <si>
    <t>Crane Lake (AWOS)</t>
  </si>
  <si>
    <t>Crookston Muni Fld</t>
  </si>
  <si>
    <t>Detroit Lakes (AWOS)</t>
  </si>
  <si>
    <t>Duluth Intl AP</t>
  </si>
  <si>
    <t>Ely Muni</t>
  </si>
  <si>
    <t>Eveleth Muni (AWOS)</t>
  </si>
  <si>
    <t>Fairmont Muni (AWOS)</t>
  </si>
  <si>
    <t>Faribault Muni AWOS</t>
  </si>
  <si>
    <t>Fergus Falls (AWOS)</t>
  </si>
  <si>
    <t>Flying Cloud</t>
  </si>
  <si>
    <t>Fosston (AWOS)</t>
  </si>
  <si>
    <t>Glenwood (ASOS)</t>
  </si>
  <si>
    <t>Gran Rapids (AWOS)</t>
  </si>
  <si>
    <t>Hallock</t>
  </si>
  <si>
    <t>Hibbing Chisholm-Hibbing AP</t>
  </si>
  <si>
    <t>Hutchinson (AWOS)</t>
  </si>
  <si>
    <t>International Falls Intl AP</t>
  </si>
  <si>
    <t>Litchfield Muni</t>
  </si>
  <si>
    <t>Little Falls (AWOS)</t>
  </si>
  <si>
    <t>Mankato (AWOS)</t>
  </si>
  <si>
    <t>Marshall/Ryan (AWOS)</t>
  </si>
  <si>
    <t>Minneapolis/Crystal</t>
  </si>
  <si>
    <t>Minneapolis-St Paul Intl AP</t>
  </si>
  <si>
    <t>Mora Muni (AWOS)</t>
  </si>
  <si>
    <t>Morris Muni (AWOS)</t>
  </si>
  <si>
    <t>New Ulm Muni (AWOS)</t>
  </si>
  <si>
    <t>Orr</t>
  </si>
  <si>
    <t>Owatonna (AWOS)</t>
  </si>
  <si>
    <t>Park Rapids Muni AP</t>
  </si>
  <si>
    <t>Pipestone (AWOS)</t>
  </si>
  <si>
    <t>Red Wing</t>
  </si>
  <si>
    <t>Redwood Falls Muni</t>
  </si>
  <si>
    <t>Rochester Intnl AP</t>
  </si>
  <si>
    <t>Roseau Muni (AWOS)</t>
  </si>
  <si>
    <t>Silver Bay</t>
  </si>
  <si>
    <t>South St. Paul Muni</t>
  </si>
  <si>
    <t>St. Cloud Refional AP</t>
  </si>
  <si>
    <t>St. Paul Downtown AP</t>
  </si>
  <si>
    <t>Thief River (AWOS)</t>
  </si>
  <si>
    <t>Two Harbors</t>
  </si>
  <si>
    <t>Wheaton Ndb (AWOS)</t>
  </si>
  <si>
    <t>Willmar</t>
  </si>
  <si>
    <t>Winona Muni (AWOS)</t>
  </si>
  <si>
    <t>Worthington (AWOS)</t>
  </si>
  <si>
    <t>Columbus AFB</t>
  </si>
  <si>
    <t>Golden Tri (AWOS)</t>
  </si>
  <si>
    <t>Greenville Muni</t>
  </si>
  <si>
    <t>Greenwood Leflore AP</t>
  </si>
  <si>
    <t>GulportBiloxi Intl</t>
  </si>
  <si>
    <t>Hattiesburg Laurel</t>
  </si>
  <si>
    <t>Jackson Intl AP</t>
  </si>
  <si>
    <t>Keesler AFB</t>
  </si>
  <si>
    <t>McComb Pike County AP</t>
  </si>
  <si>
    <t>Meridian Key Field</t>
  </si>
  <si>
    <t>Meridian NAAS</t>
  </si>
  <si>
    <t>Natchez/Hardy (AWOS)</t>
  </si>
  <si>
    <t>Tupelo CD Lemons AP</t>
  </si>
  <si>
    <t>Cape Girardeau Muni AP</t>
  </si>
  <si>
    <t>Columbia Regional AP</t>
  </si>
  <si>
    <t>Farmington</t>
  </si>
  <si>
    <t>Ft. Lnrd Wd AAF</t>
  </si>
  <si>
    <t>Jefferson City Mem</t>
  </si>
  <si>
    <t>Joplin Muni AP</t>
  </si>
  <si>
    <t>Kaiser Mem (AWOS)</t>
  </si>
  <si>
    <t>Kansas City Downtown AP</t>
  </si>
  <si>
    <t>Kansas City Intl AP</t>
  </si>
  <si>
    <t>Kirksville Reginoal AP</t>
  </si>
  <si>
    <t>Poplar Bluff (AMOS)</t>
  </si>
  <si>
    <t>Springfield Regional AP</t>
  </si>
  <si>
    <t>St. Joseph Rosecrans Mem</t>
  </si>
  <si>
    <t>St. Louis Lambert Intl AP</t>
  </si>
  <si>
    <t>St. Louis Spirit of St. Louis AP</t>
  </si>
  <si>
    <t>Vichy Rolla Natl AP</t>
  </si>
  <si>
    <t>Whiteman AFB</t>
  </si>
  <si>
    <t>Bozeman Gallatin Field</t>
  </si>
  <si>
    <t>Butte Bert Mooney AP</t>
  </si>
  <si>
    <t>Glasgow Intl AP</t>
  </si>
  <si>
    <t>Glendive (AWOS)</t>
  </si>
  <si>
    <t>Havre City-County AP</t>
  </si>
  <si>
    <t>Kalispell Glacier Pk Intl AP</t>
  </si>
  <si>
    <t>Livingston Mission Field</t>
  </si>
  <si>
    <t>Miles City Muni AP</t>
  </si>
  <si>
    <t>Sidney-Richland</t>
  </si>
  <si>
    <t xml:space="preserve">Wolf Point Intl </t>
  </si>
  <si>
    <t>Ainsworth Muni</t>
  </si>
  <si>
    <t>Alliance Muni</t>
  </si>
  <si>
    <t>Beatrice Muni</t>
  </si>
  <si>
    <t>Bellevue Offutt AFB</t>
  </si>
  <si>
    <t>Brewster Field AP</t>
  </si>
  <si>
    <t>Broken Bow Muni</t>
  </si>
  <si>
    <t>Chadron Muni AP</t>
  </si>
  <si>
    <t>Columbus Muni</t>
  </si>
  <si>
    <t>Falls City/Brenner</t>
  </si>
  <si>
    <t>Fremont Muni AP</t>
  </si>
  <si>
    <t>Grand Island Central Ne Reg</t>
  </si>
  <si>
    <t>Hastings Muni</t>
  </si>
  <si>
    <t>Imperial Faa AP</t>
  </si>
  <si>
    <t>Kearney Muni (AWOS)</t>
  </si>
  <si>
    <t>Lincoln Muni AP</t>
  </si>
  <si>
    <t>McCook Muni</t>
  </si>
  <si>
    <t>Norfolk Karl Stefan Mem AP</t>
  </si>
  <si>
    <t>North Platte Reg AP</t>
  </si>
  <si>
    <t>Omaha Eppley Airfield</t>
  </si>
  <si>
    <t>Omaha Wsfo</t>
  </si>
  <si>
    <t>O'Neill/Baker Field</t>
  </si>
  <si>
    <t>Ord/Sharp Field</t>
  </si>
  <si>
    <t>Scottsbluff W.B. Heilig Field</t>
  </si>
  <si>
    <t>Sidney Muni AP</t>
  </si>
  <si>
    <t>Tekamah (ASOS)</t>
  </si>
  <si>
    <t>Valentine Miller Field</t>
  </si>
  <si>
    <t>Elko Muni AP</t>
  </si>
  <si>
    <t>Ely Yelland Field</t>
  </si>
  <si>
    <t>Fallon NAAS</t>
  </si>
  <si>
    <t>Las Vegas McCarran Intl AP</t>
  </si>
  <si>
    <t>Lovelock Derby Field</t>
  </si>
  <si>
    <t>Mercury Desert Rock AP</t>
  </si>
  <si>
    <t>Nellis AFB</t>
  </si>
  <si>
    <t>Reno Tahoe Intl AP</t>
  </si>
  <si>
    <t>Tonopah AP</t>
  </si>
  <si>
    <t>Winnemucca Muni AP</t>
  </si>
  <si>
    <t>NH</t>
  </si>
  <si>
    <t>Berlin Muni</t>
  </si>
  <si>
    <t>Concord Muni AP</t>
  </si>
  <si>
    <t>Dillant Hopkins</t>
  </si>
  <si>
    <t>Laconia Muni (AWOS)</t>
  </si>
  <si>
    <t>Lebanon Muni</t>
  </si>
  <si>
    <t>Manchester AP</t>
  </si>
  <si>
    <t>Mount Washington</t>
  </si>
  <si>
    <t>Pease Intl Tradepor</t>
  </si>
  <si>
    <t>NJ</t>
  </si>
  <si>
    <t>Atlantic City Intl AP</t>
  </si>
  <si>
    <t>Belmar Asc</t>
  </si>
  <si>
    <t>Caldwell/Essex Co.</t>
  </si>
  <si>
    <t>Cape May Co</t>
  </si>
  <si>
    <t>McGuire AFB</t>
  </si>
  <si>
    <t>Millville Muni AP</t>
  </si>
  <si>
    <t>Newark Intl AP</t>
  </si>
  <si>
    <t>Teterboro AP</t>
  </si>
  <si>
    <t>Trenton Mercer County AP</t>
  </si>
  <si>
    <t>NM</t>
  </si>
  <si>
    <t>Albuquerque Intl AP</t>
  </si>
  <si>
    <t>Carlsbad Cavern City Air Term</t>
  </si>
  <si>
    <t>Clayton Muni AP</t>
  </si>
  <si>
    <t>Clovis Cannon AFB</t>
  </si>
  <si>
    <t>Clovis Muni (AWOS)</t>
  </si>
  <si>
    <t>Deming Muni</t>
  </si>
  <si>
    <t>Farmington Four Corners Rgl</t>
  </si>
  <si>
    <t>Gallup Sen Clarke Fld</t>
  </si>
  <si>
    <t>Hollman AFB</t>
  </si>
  <si>
    <t>Las Cruces Intl</t>
  </si>
  <si>
    <t>Las Vegas Muni AP</t>
  </si>
  <si>
    <t>Roswell Industrial Air Park</t>
  </si>
  <si>
    <t>Santa Fe Co Muni AP</t>
  </si>
  <si>
    <t>Sierra Blanca Rgnl</t>
  </si>
  <si>
    <t>Taos Muni AP (AWOS)</t>
  </si>
  <si>
    <t>Truth or Consequences Muni AP</t>
  </si>
  <si>
    <t>Tucumcari Faa AP</t>
  </si>
  <si>
    <t>NY</t>
  </si>
  <si>
    <t>Adirondack Rgnl</t>
  </si>
  <si>
    <t>Albany County AP</t>
  </si>
  <si>
    <t>Binghamton Edwin A Link Field</t>
  </si>
  <si>
    <t>Buffalo Niagara Intl AP</t>
  </si>
  <si>
    <t>Elmira Corning Rgl AP</t>
  </si>
  <si>
    <t>Fort Drum/Wheeler-S</t>
  </si>
  <si>
    <t>glens Falls AP</t>
  </si>
  <si>
    <t>Islip Long Isl MacArthur AP</t>
  </si>
  <si>
    <t>Jamestown (AWOS)</t>
  </si>
  <si>
    <t>Massena AP</t>
  </si>
  <si>
    <t>Monticello (AWOS)</t>
  </si>
  <si>
    <t>New York Central Prk Obs Belv</t>
  </si>
  <si>
    <t>New York JFK Intl AP</t>
  </si>
  <si>
    <t>New York Laguardia AP</t>
  </si>
  <si>
    <t>Niagra Falls Af</t>
  </si>
  <si>
    <t>Poughkeepsie Dutchess Co AP</t>
  </si>
  <si>
    <t>Republic</t>
  </si>
  <si>
    <t>Rochester Greater Rochester</t>
  </si>
  <si>
    <t>Stewart Field</t>
  </si>
  <si>
    <t>Syracuse Hancock Intl AP</t>
  </si>
  <si>
    <t>Utica Oneida CO AP</t>
  </si>
  <si>
    <t>Watertown AP</t>
  </si>
  <si>
    <t>Westhampton Gabreski AP</t>
  </si>
  <si>
    <t>White Plains Westchester Co AP</t>
  </si>
  <si>
    <t>NoCarolina</t>
  </si>
  <si>
    <t>Asheville Rgnl AP</t>
  </si>
  <si>
    <t>Cape Hatteras Nws Bldg</t>
  </si>
  <si>
    <t>Charlotte Douglass Intl AP</t>
  </si>
  <si>
    <t>Cherry Point MCAS</t>
  </si>
  <si>
    <t>Dare Co. Rgnl</t>
  </si>
  <si>
    <t>Elizabeth City Coast Guard Ai</t>
  </si>
  <si>
    <t>Fayetteville Pope AFB</t>
  </si>
  <si>
    <t>Fayetteville Rgnl G</t>
  </si>
  <si>
    <t>Fort Bragg Simmons AAF</t>
  </si>
  <si>
    <t>Goldsboro Seymour Johnson AFB</t>
  </si>
  <si>
    <t>Greensboro Piedmont Triad Intl</t>
  </si>
  <si>
    <t>Hickory Rgnl AP</t>
  </si>
  <si>
    <t>Jacksonville (AWOS)</t>
  </si>
  <si>
    <t>Kinston Stallings AFB</t>
  </si>
  <si>
    <t>New Bern Craven Co Rgl AP</t>
  </si>
  <si>
    <t>New River MCAF</t>
  </si>
  <si>
    <t>Pitt Greenville AP</t>
  </si>
  <si>
    <t>Raleigh Durham Intl</t>
  </si>
  <si>
    <t>Rocky Mount Wilson</t>
  </si>
  <si>
    <t>Southern Pines AWOS</t>
  </si>
  <si>
    <t>Wilmington Intl AP</t>
  </si>
  <si>
    <t>Winston-Salem Reynolds AP</t>
  </si>
  <si>
    <t>NoDakota</t>
  </si>
  <si>
    <t>Bismarck Muni AP</t>
  </si>
  <si>
    <t>Devils Lake (AWOS)</t>
  </si>
  <si>
    <t>Dickinson Muni AP</t>
  </si>
  <si>
    <t>Fargo Hector Intl AP</t>
  </si>
  <si>
    <t>Grand Forks Af</t>
  </si>
  <si>
    <t>Grand Forks Intl AP</t>
  </si>
  <si>
    <t>Jamestown Muni AP</t>
  </si>
  <si>
    <t>Minot AFB</t>
  </si>
  <si>
    <t>Minot Faa AP</t>
  </si>
  <si>
    <t>Williston Sloulin Intl AP</t>
  </si>
  <si>
    <t>Akron Akron-Canton Reg AP</t>
  </si>
  <si>
    <t>Burke Lakefront</t>
  </si>
  <si>
    <t>Cincinnati Muni AP Lunki</t>
  </si>
  <si>
    <t>Cleveland Hoopkins Intl AP</t>
  </si>
  <si>
    <t>Columbus Port Columbus Intl AP</t>
  </si>
  <si>
    <t>Dayton Intl AP</t>
  </si>
  <si>
    <t>Dayton Wright Patterson AFB</t>
  </si>
  <si>
    <t>Findlay AP</t>
  </si>
  <si>
    <t>Mansfield Lahm Muni AP</t>
  </si>
  <si>
    <t>Ohio State Univ</t>
  </si>
  <si>
    <t>Toledo Express AP</t>
  </si>
  <si>
    <t>Youngstown Reg AP</t>
  </si>
  <si>
    <t>Zanesville Muni AP</t>
  </si>
  <si>
    <t>Altus AFB</t>
  </si>
  <si>
    <t>Bartlesville/Philli</t>
  </si>
  <si>
    <t>Clinton-Sherman</t>
  </si>
  <si>
    <t>Fort Sill Post Field Af</t>
  </si>
  <si>
    <t>Gage AP</t>
  </si>
  <si>
    <t>Hobart Muni AP</t>
  </si>
  <si>
    <t>Lawton Muni</t>
  </si>
  <si>
    <t>McAlester Muni AP</t>
  </si>
  <si>
    <t>Oklahoma City Tinker AFB</t>
  </si>
  <si>
    <t>Oklahoma City Will Rogers Wor</t>
  </si>
  <si>
    <t>Oklahoma City/Wiley</t>
  </si>
  <si>
    <t>Ponca City Muni AP</t>
  </si>
  <si>
    <t>Stillwater Rgnl</t>
  </si>
  <si>
    <t>Tulsa Intl AP</t>
  </si>
  <si>
    <t>Vance AFB</t>
  </si>
  <si>
    <t>Astoria Rgnl AP</t>
  </si>
  <si>
    <t>Aurora State</t>
  </si>
  <si>
    <t>Baker Muni AP</t>
  </si>
  <si>
    <t>Burns Muni AP</t>
  </si>
  <si>
    <t>Corvallis Muni</t>
  </si>
  <si>
    <t>Eugene Mahlon Sweet AP</t>
  </si>
  <si>
    <t>Klamath Falls Intl AP</t>
  </si>
  <si>
    <t>La Grande Muni AP</t>
  </si>
  <si>
    <t>Lakeview (AWOS)</t>
  </si>
  <si>
    <t>Medford Rogue Valley Intl AP</t>
  </si>
  <si>
    <t>North Bend Muni AP</t>
  </si>
  <si>
    <t>Pendleton E Or Rgnl AP</t>
  </si>
  <si>
    <t>Portland Intl AP</t>
  </si>
  <si>
    <t>Portland/Hillboro</t>
  </si>
  <si>
    <t>Portland/Troutdale</t>
  </si>
  <si>
    <t>Roseburg Rgnl AP</t>
  </si>
  <si>
    <t>Sexton Summit</t>
  </si>
  <si>
    <t>Charlottestown</t>
  </si>
  <si>
    <t>PA</t>
  </si>
  <si>
    <t>Allentown Lehigh Valley Intl</t>
  </si>
  <si>
    <t>Altoona Blair Co AP</t>
  </si>
  <si>
    <t>Bradford Rgnl AP</t>
  </si>
  <si>
    <t>Butler Co (AWOS)</t>
  </si>
  <si>
    <t>Dubois Faa AP</t>
  </si>
  <si>
    <t>Erie Intl AP</t>
  </si>
  <si>
    <t>Franklin</t>
  </si>
  <si>
    <t>Harrisburg Capital City AP</t>
  </si>
  <si>
    <t>Johnstown Cambria Co AP</t>
  </si>
  <si>
    <t>Lancaster</t>
  </si>
  <si>
    <t>Middletown Harrisburg Intl AP</t>
  </si>
  <si>
    <t>Philadelphia Intl AP</t>
  </si>
  <si>
    <t>Philadelphia Ne</t>
  </si>
  <si>
    <t>Pittsburgh Allegheny Co AP</t>
  </si>
  <si>
    <t>Pittsburgh Intl AP</t>
  </si>
  <si>
    <t>Reading Spaatz Field</t>
  </si>
  <si>
    <t>State College</t>
  </si>
  <si>
    <t>Washington (AWOS)</t>
  </si>
  <si>
    <t>Wilks-Barre Scranton Intl AP</t>
  </si>
  <si>
    <t>Williamsport Rgnl AP</t>
  </si>
  <si>
    <t>Willow Grove NAS</t>
  </si>
  <si>
    <t>Puerto Rico</t>
  </si>
  <si>
    <t>Aquadillo/Borinquen</t>
  </si>
  <si>
    <t>Eugenio Maria De Ho</t>
  </si>
  <si>
    <t>Mercedita</t>
  </si>
  <si>
    <t>Roosevelt Roads</t>
  </si>
  <si>
    <t>San Juan Intl AP</t>
  </si>
  <si>
    <t>San Juan LM Marin Intl AP</t>
  </si>
  <si>
    <t>RI</t>
  </si>
  <si>
    <t>Block Island State AP</t>
  </si>
  <si>
    <t>Pawtucket</t>
  </si>
  <si>
    <t>Providence TF Green</t>
  </si>
  <si>
    <t>SC</t>
  </si>
  <si>
    <t>Anderson County AP</t>
  </si>
  <si>
    <t>Beaufort MCAS</t>
  </si>
  <si>
    <t>Charleston Intl AP</t>
  </si>
  <si>
    <t>Columbia Metro AP</t>
  </si>
  <si>
    <t>Florence Rgnl AP</t>
  </si>
  <si>
    <t>Greenville Downtown AP</t>
  </si>
  <si>
    <t>Greer Greenv'l-Spartanbrg AP</t>
  </si>
  <si>
    <t>Myrtle Beach AFB</t>
  </si>
  <si>
    <t>North Myrtle Beach Grand</t>
  </si>
  <si>
    <t>Sumter Shaw AFB</t>
  </si>
  <si>
    <t>S. Dakota</t>
  </si>
  <si>
    <t>Aberdeen Rgnl AP</t>
  </si>
  <si>
    <t>Brookings (AWOS)</t>
  </si>
  <si>
    <t>Chan Gurney Muni</t>
  </si>
  <si>
    <t>Ellsworth AFB</t>
  </si>
  <si>
    <t>Huron Rgnl AP</t>
  </si>
  <si>
    <t>Mitchell (AWOS)</t>
  </si>
  <si>
    <t>Mobridge</t>
  </si>
  <si>
    <t>Pierre Muni AP</t>
  </si>
  <si>
    <t>Rapid City Rgnl AP</t>
  </si>
  <si>
    <t>Sioux Falls Foss Field</t>
  </si>
  <si>
    <t>Watertown Muni Ap</t>
  </si>
  <si>
    <t>Bristol Tri City AP</t>
  </si>
  <si>
    <t>Chattanooga Lovell Field AP</t>
  </si>
  <si>
    <t>Crossville Memorial AP</t>
  </si>
  <si>
    <t>Dyersburg Muni AP</t>
  </si>
  <si>
    <t>Jackson McKellar-Sipes Rgnl AP</t>
  </si>
  <si>
    <t>Knoxville McGhee Tyson AP</t>
  </si>
  <si>
    <t>Memphis Intl AP</t>
  </si>
  <si>
    <t>Nashville Intl AP</t>
  </si>
  <si>
    <t>Abilene Dyess AFB</t>
  </si>
  <si>
    <t>Abilene Rgnl AP</t>
  </si>
  <si>
    <t>Alice Intl AP</t>
  </si>
  <si>
    <t>Amarillo Intl AP</t>
  </si>
  <si>
    <t>Austin Mueller Muni AP</t>
  </si>
  <si>
    <t>Brownsville S. Padre Isl Intl</t>
  </si>
  <si>
    <t>Camp Mabry</t>
  </si>
  <si>
    <t>Childress Muni AP</t>
  </si>
  <si>
    <t>College Station Easterwood</t>
  </si>
  <si>
    <t>Corpus Christ NAS</t>
  </si>
  <si>
    <t>Corpus Christi Intl AP</t>
  </si>
  <si>
    <t>Cotulla Faa AP</t>
  </si>
  <si>
    <t>Cox Fld</t>
  </si>
  <si>
    <t>Dalhart Muni AP</t>
  </si>
  <si>
    <t>Dallas Love Field</t>
  </si>
  <si>
    <t>Dallas/Addison AP</t>
  </si>
  <si>
    <t>Dallas/Redbird AP</t>
  </si>
  <si>
    <t>Dallas-Fort Worth Intl AP</t>
  </si>
  <si>
    <t xml:space="preserve">Del Rio  </t>
  </si>
  <si>
    <t>Del Rio Laughlin AFB</t>
  </si>
  <si>
    <t>Draughon Miller Cen</t>
  </si>
  <si>
    <t>El Paso Intl AP</t>
  </si>
  <si>
    <t>Fort Hood</t>
  </si>
  <si>
    <t>Fort Worth Alliance</t>
  </si>
  <si>
    <t>Fort Worth Meacham</t>
  </si>
  <si>
    <t>Fort Worth NAS</t>
  </si>
  <si>
    <t>Galveston/Scholes</t>
  </si>
  <si>
    <t>Georgetown (AWOS)</t>
  </si>
  <si>
    <t>Greenville/Majors</t>
  </si>
  <si>
    <t>Harlingen Rio Grande Valley I</t>
  </si>
  <si>
    <t>Hondo Muni AP</t>
  </si>
  <si>
    <t>Houston Bush Intcont.</t>
  </si>
  <si>
    <t>Houston Ellington AFB</t>
  </si>
  <si>
    <t>Houston William P Hobby AP</t>
  </si>
  <si>
    <t>Houston/D.W. Hooks</t>
  </si>
  <si>
    <t>Killeen Muni (AWOS)</t>
  </si>
  <si>
    <t>Kingsville</t>
  </si>
  <si>
    <t>Laredo Intl AP</t>
  </si>
  <si>
    <t>Longview Greeg County AP</t>
  </si>
  <si>
    <t>Lubbock Intl AP</t>
  </si>
  <si>
    <t>Lufkin Angelina Co</t>
  </si>
  <si>
    <t>Marfa AP</t>
  </si>
  <si>
    <t>McAllen Miller Intl AP</t>
  </si>
  <si>
    <t>McGregor (AWOS)</t>
  </si>
  <si>
    <t>Midland Intl AP</t>
  </si>
  <si>
    <t>Mineral Wells Muni AP</t>
  </si>
  <si>
    <t>Nacodoches (AWOS)</t>
  </si>
  <si>
    <t>Palacios Muni AP</t>
  </si>
  <si>
    <t>Port Arthur Jefferson Cnty</t>
  </si>
  <si>
    <t>Randolph AFB</t>
  </si>
  <si>
    <t>Robert Gray AAF</t>
  </si>
  <si>
    <t>Rockport/Aransas Co</t>
  </si>
  <si>
    <t>San Angelo Mathis Field</t>
  </si>
  <si>
    <t>San Antonio Intl AP</t>
  </si>
  <si>
    <t>San Antonio Kelly Field AFB</t>
  </si>
  <si>
    <t>San Antonio/Stinson</t>
  </si>
  <si>
    <t>Tyler/Pounds Fld</t>
  </si>
  <si>
    <t>Victoria Rgnl AP</t>
  </si>
  <si>
    <t>Waco Rgnl AP</t>
  </si>
  <si>
    <t>Wichita Fall Muni AP</t>
  </si>
  <si>
    <t>Wink Winkler County AP</t>
  </si>
  <si>
    <t>Blanding</t>
  </si>
  <si>
    <t>Bryce Cnyn Faa</t>
  </si>
  <si>
    <t>Cedar City Muni AP</t>
  </si>
  <si>
    <t>Delta</t>
  </si>
  <si>
    <t>Hanksville</t>
  </si>
  <si>
    <t>Moab/Canyonlands</t>
  </si>
  <si>
    <t>Ogden Hill AFB</t>
  </si>
  <si>
    <t>Ogden Hinkley AP</t>
  </si>
  <si>
    <t>Provo Muni</t>
  </si>
  <si>
    <t>Saint George (AWOS)</t>
  </si>
  <si>
    <t>Salt Lake City Intl AP</t>
  </si>
  <si>
    <t>Vernal</t>
  </si>
  <si>
    <t>Wendover USAF Aux</t>
  </si>
  <si>
    <t>Burlington Intl AP</t>
  </si>
  <si>
    <t>Montpelier AP</t>
  </si>
  <si>
    <t>Rutland State</t>
  </si>
  <si>
    <t>Springfield/Hartnes</t>
  </si>
  <si>
    <t>Abingdon</t>
  </si>
  <si>
    <t>Charlottesville Faa</t>
  </si>
  <si>
    <t>Danville Faa AP</t>
  </si>
  <si>
    <t>Davison AAF</t>
  </si>
  <si>
    <t>Dinwiddie Co</t>
  </si>
  <si>
    <t>Farmville</t>
  </si>
  <si>
    <t>Franklin NAAS</t>
  </si>
  <si>
    <t>Hillsville</t>
  </si>
  <si>
    <t>Hot Springs/Ingalls</t>
  </si>
  <si>
    <t>Langley AFB</t>
  </si>
  <si>
    <t>Leesburg/Godfrey</t>
  </si>
  <si>
    <t>Lynchburg Rgnl AP</t>
  </si>
  <si>
    <t>Manassas Muni (AWOS)</t>
  </si>
  <si>
    <t>Marion/Wytheville</t>
  </si>
  <si>
    <t>Martinsville</t>
  </si>
  <si>
    <t>Melfa/Accomack AP</t>
  </si>
  <si>
    <t>Newport News</t>
  </si>
  <si>
    <t>Norfolk Intl AP</t>
  </si>
  <si>
    <t>Norfolk NAS</t>
  </si>
  <si>
    <t>Oceana NAS</t>
  </si>
  <si>
    <t>Pulaski</t>
  </si>
  <si>
    <t>Quantico MCAS</t>
  </si>
  <si>
    <t>Richmond Intl AP</t>
  </si>
  <si>
    <t>Roanoke Rgnl AP</t>
  </si>
  <si>
    <t>Shannon AP</t>
  </si>
  <si>
    <t>Staunton/Shenandoah</t>
  </si>
  <si>
    <t>Virginia Tech AP</t>
  </si>
  <si>
    <t>Washington DC Dulles AP</t>
  </si>
  <si>
    <t>Washington DC Reagan AP</t>
  </si>
  <si>
    <t>Winchester Rgnl</t>
  </si>
  <si>
    <t>Wise/Lonesome Pine</t>
  </si>
  <si>
    <t>Bellingham Intl AP</t>
  </si>
  <si>
    <t>Bremerton Natl</t>
  </si>
  <si>
    <t>Ephrata AP</t>
  </si>
  <si>
    <t>Fairchild AFB</t>
  </si>
  <si>
    <t>Felts Fld</t>
  </si>
  <si>
    <t>Gray AAF</t>
  </si>
  <si>
    <t>Hanford</t>
  </si>
  <si>
    <t>Hoquiam AP</t>
  </si>
  <si>
    <t>Kelso Wb AP</t>
  </si>
  <si>
    <t>Moses Lake Grant Co AP</t>
  </si>
  <si>
    <t>Pasco</t>
  </si>
  <si>
    <t>Pullman/Moscow Rgnl</t>
  </si>
  <si>
    <t>Quillayute State AP</t>
  </si>
  <si>
    <t>Renton Muni</t>
  </si>
  <si>
    <t>Seattle Seattle-Tacoma Intl</t>
  </si>
  <si>
    <t>Snohomish Co</t>
  </si>
  <si>
    <t>Spokane Intl AP</t>
  </si>
  <si>
    <t>Stampede Pass</t>
  </si>
  <si>
    <t>Tacoma McChord AFB</t>
  </si>
  <si>
    <t>Tacoma Narrows</t>
  </si>
  <si>
    <t>The Dalles Muni AP</t>
  </si>
  <si>
    <t>Toledo-Winlock Mem</t>
  </si>
  <si>
    <t>Walla Walla City Co AP</t>
  </si>
  <si>
    <t>Wenatchee/Pangborn</t>
  </si>
  <si>
    <t>Whidbey Island NAS</t>
  </si>
  <si>
    <t>William R Fairchild</t>
  </si>
  <si>
    <t>W. Virginia</t>
  </si>
  <si>
    <t>Beckley Raleigh Co. Mem AP</t>
  </si>
  <si>
    <t>Bluefield/Mercer Co</t>
  </si>
  <si>
    <t>Charleston Yeager AP</t>
  </si>
  <si>
    <t>Elkins Elkins-Randolph Co AP</t>
  </si>
  <si>
    <t>Harrison Marion Rgn</t>
  </si>
  <si>
    <t>Huntington Tri-State AP</t>
  </si>
  <si>
    <t>Lewisburg/Greenbrie</t>
  </si>
  <si>
    <t>Martinsburg Eastern Wv Reg AP</t>
  </si>
  <si>
    <t>Morgantown Hart Field</t>
  </si>
  <si>
    <t>Parkersburg Wood Cnty AP</t>
  </si>
  <si>
    <t>Wheeling Ohio Cnty AP</t>
  </si>
  <si>
    <t>Antigo/Lang</t>
  </si>
  <si>
    <t>Appleton/Outagamie</t>
  </si>
  <si>
    <t>Eau Claire Cnty AP</t>
  </si>
  <si>
    <t>Green Bay Austin Straubel Int</t>
  </si>
  <si>
    <t>Janesville/Rock Co</t>
  </si>
  <si>
    <t>LaCrosse Muni AP</t>
  </si>
  <si>
    <t>Lone Rock Faa AP</t>
  </si>
  <si>
    <t>Madison Dane Co. Reg AP</t>
  </si>
  <si>
    <t>Manitowac Muni</t>
  </si>
  <si>
    <t>Marshfield Muni</t>
  </si>
  <si>
    <t>Milwaukee Mitchell Intl AP</t>
  </si>
  <si>
    <t>Minocqua/Woodruff</t>
  </si>
  <si>
    <t>Mosinee/Central Wi</t>
  </si>
  <si>
    <t>Phillips/Price Co.</t>
  </si>
  <si>
    <t>Rhinelander Oneida</t>
  </si>
  <si>
    <t>Rice Lake Muni</t>
  </si>
  <si>
    <t>Sturgeon Bay</t>
  </si>
  <si>
    <t>Watertown</t>
  </si>
  <si>
    <t>Wausau Muni AP</t>
  </si>
  <si>
    <t>Wittman Rgnl</t>
  </si>
  <si>
    <t>Casper Natrona Co Intl AP</t>
  </si>
  <si>
    <t>Cheyenne Muni AP</t>
  </si>
  <si>
    <t>Cody Muni</t>
  </si>
  <si>
    <t>Evanston/Burns Fld</t>
  </si>
  <si>
    <t>Gillette/Gillette C</t>
  </si>
  <si>
    <t>Jackson Hole</t>
  </si>
  <si>
    <t>Lander Hunt Field</t>
  </si>
  <si>
    <t>Laramie Gen Brees Field</t>
  </si>
  <si>
    <t>Rawlins Muni AP</t>
  </si>
  <si>
    <t>Riverton Muni AP</t>
  </si>
  <si>
    <t>Rock Springs AP</t>
  </si>
  <si>
    <t>Sheridan Co AP</t>
  </si>
  <si>
    <t>Worland Muni</t>
  </si>
  <si>
    <t>Calgary</t>
  </si>
  <si>
    <t>Edmonton</t>
  </si>
  <si>
    <t>Fort McMurray</t>
  </si>
  <si>
    <t>Grande Prairie</t>
  </si>
  <si>
    <t>Lethbridge</t>
  </si>
  <si>
    <t>Medecine Hat</t>
  </si>
  <si>
    <t>Br Columbia</t>
  </si>
  <si>
    <t>Abbotsford</t>
  </si>
  <si>
    <t>Comox</t>
  </si>
  <si>
    <t>Cranbrook</t>
  </si>
  <si>
    <t>Fort St. John</t>
  </si>
  <si>
    <t>Kamloops</t>
  </si>
  <si>
    <t>Port Hardy</t>
  </si>
  <si>
    <t>Prince George</t>
  </si>
  <si>
    <t>Prince Rupert</t>
  </si>
  <si>
    <t>Sandspit</t>
  </si>
  <si>
    <t>Smithers</t>
  </si>
  <si>
    <t>Summerland</t>
  </si>
  <si>
    <t>Vancouver</t>
  </si>
  <si>
    <t>Victoria</t>
  </si>
  <si>
    <t>Brandon</t>
  </si>
  <si>
    <t>Churchill</t>
  </si>
  <si>
    <t>The Pas</t>
  </si>
  <si>
    <t>Winniped</t>
  </si>
  <si>
    <t>Fredericton</t>
  </si>
  <si>
    <t>Miramichi</t>
  </si>
  <si>
    <t>Saint John</t>
  </si>
  <si>
    <t>Nwfnld</t>
  </si>
  <si>
    <t>Battle Harbor</t>
  </si>
  <si>
    <t>Gander</t>
  </si>
  <si>
    <t>Goose Bay</t>
  </si>
  <si>
    <t>St. Johns</t>
  </si>
  <si>
    <t>Stephenville</t>
  </si>
  <si>
    <t>NW Territ</t>
  </si>
  <si>
    <t>Inuvik</t>
  </si>
  <si>
    <t>Yellowknife</t>
  </si>
  <si>
    <t>Greenwood</t>
  </si>
  <si>
    <t>Sable Island</t>
  </si>
  <si>
    <t>Shearwater</t>
  </si>
  <si>
    <t>Sydney</t>
  </si>
  <si>
    <t>Truro</t>
  </si>
  <si>
    <t>Nunavut</t>
  </si>
  <si>
    <t>Resolute</t>
  </si>
  <si>
    <t>Kingston</t>
  </si>
  <si>
    <t>London</t>
  </si>
  <si>
    <t>Mount Forest</t>
  </si>
  <si>
    <t>Muskoka</t>
  </si>
  <si>
    <t>North Bay</t>
  </si>
  <si>
    <t>Ottawa</t>
  </si>
  <si>
    <t>Sault Ste Marie</t>
  </si>
  <si>
    <t>Simcoe</t>
  </si>
  <si>
    <t>Thunder Bay</t>
  </si>
  <si>
    <t>Timmins</t>
  </si>
  <si>
    <t>Toronto</t>
  </si>
  <si>
    <t>Trenton</t>
  </si>
  <si>
    <t>Windsor</t>
  </si>
  <si>
    <t>Bagotville</t>
  </si>
  <si>
    <t>Baie Comeau</t>
  </si>
  <si>
    <t>Grindstone Island</t>
  </si>
  <si>
    <t>Kuujjuarapik</t>
  </si>
  <si>
    <t>Kuujuaq</t>
  </si>
  <si>
    <t>La Grande Riviere</t>
  </si>
  <si>
    <t>Lake Eon</t>
  </si>
  <si>
    <t>Mont Joli</t>
  </si>
  <si>
    <t>Montreal Intl AP</t>
  </si>
  <si>
    <t>Montreal Jean Brebeuf</t>
  </si>
  <si>
    <t>Montreal Mirabel</t>
  </si>
  <si>
    <t>Nitchequon</t>
  </si>
  <si>
    <t>Riviere Du Loup</t>
  </si>
  <si>
    <t>Roberval</t>
  </si>
  <si>
    <t>Schefferville</t>
  </si>
  <si>
    <t>Sept-Iles</t>
  </si>
  <si>
    <t>Sherbrooke</t>
  </si>
  <si>
    <t>St. Hubert</t>
  </si>
  <si>
    <t>Ste Agathe des Monts</t>
  </si>
  <si>
    <t>Val d Or</t>
  </si>
  <si>
    <t>Estevan</t>
  </si>
  <si>
    <t>North Battleford</t>
  </si>
  <si>
    <t>Regina</t>
  </si>
  <si>
    <t>Saskatoon</t>
  </si>
  <si>
    <t>Swift Current</t>
  </si>
  <si>
    <t>Whitehorse</t>
  </si>
  <si>
    <t>Nominal Heating</t>
  </si>
  <si>
    <t>Nominal Cooling</t>
  </si>
  <si>
    <t>System #</t>
  </si>
  <si>
    <t>cfm25</t>
  </si>
  <si>
    <t>furnace btu</t>
  </si>
  <si>
    <t>Furnace weighted</t>
  </si>
  <si>
    <t>AC tons</t>
  </si>
  <si>
    <t>AC weighted</t>
  </si>
  <si>
    <t>Leakage %</t>
  </si>
  <si>
    <t>Leakage % weighted</t>
  </si>
  <si>
    <t>Furnace Weighted Avg.</t>
  </si>
  <si>
    <t>AC Weighted Avg.</t>
  </si>
  <si>
    <t>Average</t>
  </si>
  <si>
    <t>Pre Test</t>
  </si>
  <si>
    <t>Post Test</t>
  </si>
  <si>
    <t>200 OR 400 ppm</t>
  </si>
  <si>
    <t>200 ppm</t>
  </si>
  <si>
    <t>400 ppm</t>
  </si>
  <si>
    <t>Venting Condition</t>
  </si>
  <si>
    <t>Limit</t>
  </si>
  <si>
    <t>Chimney-top draft inducer (Exhausto-type or epuivalent) [-50pa]</t>
  </si>
  <si>
    <t>High static pressure flame retention head oil burner [-50pa]</t>
  </si>
  <si>
    <t>Direct-vented appliances/Sealed combustion appliances [-50pa]</t>
  </si>
  <si>
    <t>PASS</t>
  </si>
  <si>
    <t>Air Free CO: FAIL - Reference Section 7.9.5 &amp; TABLE D.1.A.</t>
  </si>
  <si>
    <t>FAIL</t>
  </si>
  <si>
    <t xml:space="preserve">Advise homeowner/occupant that appliance should be serviced immediately by a qualified professional. </t>
  </si>
  <si>
    <t>Natural Draft</t>
  </si>
  <si>
    <t>Mechanically assisted</t>
  </si>
  <si>
    <t>Direct Vented</t>
  </si>
  <si>
    <t>Boiler</t>
  </si>
  <si>
    <t>NA</t>
  </si>
  <si>
    <t>Floor Furnace</t>
  </si>
  <si>
    <t>Non-Op</t>
  </si>
  <si>
    <t>Gravity Furnace</t>
  </si>
  <si>
    <t>Wall Furnace (BIV)</t>
  </si>
  <si>
    <t>Recommend that the CO problem be fixed (service call &amp; repairs)</t>
  </si>
  <si>
    <t>Stop Work: Work may not proceed
until the system is serviced and the
problem is corrected</t>
  </si>
  <si>
    <t>Wall Furnace (Direct Vent)</t>
  </si>
  <si>
    <t>Vented Room Heater</t>
  </si>
  <si>
    <t>Unvented Room Heater</t>
  </si>
  <si>
    <t>Water Heater</t>
  </si>
  <si>
    <t>Oven / Broiler</t>
  </si>
  <si>
    <t xml:space="preserve"> needs a CO detector installed &amp; service recommendation must be made to the consumer.</t>
  </si>
  <si>
    <t>FAIL: Reference Section 7.9.5 &amp; TABLE D.1.A.</t>
  </si>
  <si>
    <t>Clothes Dryer</t>
  </si>
  <si>
    <t>Refrigerator</t>
  </si>
  <si>
    <t>Gas Log (gas fireplace)</t>
  </si>
  <si>
    <t>Gas Log Insert (retrofit)</t>
  </si>
  <si>
    <t xml:space="preserve"> - ≥ 25 ppm: Specify appropriate measures to mitigate potentially dangerous CO. </t>
  </si>
  <si>
    <t>Add dryer, fireplace</t>
  </si>
  <si>
    <t>T Stat</t>
  </si>
  <si>
    <t xml:space="preserve">POINTS: </t>
  </si>
  <si>
    <t>BASE:</t>
  </si>
  <si>
    <t>Air Sealing &gt;15%</t>
  </si>
  <si>
    <t>Air Sealing &gt;30%</t>
  </si>
  <si>
    <t>Duct Sealing &lt;10%</t>
  </si>
  <si>
    <t>Duct Sealing &lt;5%</t>
  </si>
  <si>
    <t>Floor</t>
  </si>
  <si>
    <t>Wall</t>
  </si>
  <si>
    <t>Central Furnace &gt;95%</t>
  </si>
  <si>
    <t>Split HVAC</t>
  </si>
  <si>
    <t>Package HVAC</t>
  </si>
  <si>
    <t>Central Furnace &gt;92%</t>
  </si>
  <si>
    <t>Smart Thermostat</t>
  </si>
  <si>
    <t>Electric Water Heater &gt;2.00 EF</t>
  </si>
  <si>
    <t>Tank Water Heater &gt;0.67 EF</t>
  </si>
  <si>
    <t>Tank Water Heater &gt;0.70 EF</t>
  </si>
  <si>
    <r>
      <rPr>
        <b/>
        <sz val="11"/>
        <color rgb="FFFF0000"/>
        <rFont val="Arial"/>
        <family val="2"/>
        <scheme val="minor"/>
      </rPr>
      <t>Optional:</t>
    </r>
    <r>
      <rPr>
        <b/>
        <sz val="11"/>
        <color theme="1"/>
        <rFont val="Arial"/>
        <family val="2"/>
        <scheme val="minor"/>
      </rPr>
      <t xml:space="preserve"> Pre</t>
    </r>
  </si>
  <si>
    <t>Gas Fireplace</t>
  </si>
  <si>
    <t>Gas Fireplace, Oven, Gas Line Testing</t>
  </si>
  <si>
    <t>Measure Estimate</t>
  </si>
  <si>
    <t>Central Gas Furnace</t>
  </si>
  <si>
    <t>Gas Water Heater</t>
  </si>
  <si>
    <t>Downsize HVAC</t>
  </si>
  <si>
    <t>Total Rebate</t>
  </si>
  <si>
    <t>Combustion Appliance Saftey</t>
  </si>
  <si>
    <t>BayREN Bonus Measures</t>
  </si>
  <si>
    <t>Bonus Estimate</t>
  </si>
  <si>
    <t>Enter test information</t>
  </si>
  <si>
    <t>Attic Insulation R-44 or higher</t>
  </si>
  <si>
    <t>Wall Insulation R-13 or higher</t>
  </si>
  <si>
    <t xml:space="preserve">Duct Sealing </t>
  </si>
  <si>
    <t xml:space="preserve"> </t>
  </si>
  <si>
    <t>Enter area of insulation installed</t>
  </si>
  <si>
    <t>Both Shell &amp; HVAC Measures Installed</t>
  </si>
  <si>
    <t>New HVAC capacity is less than system being replaced</t>
  </si>
  <si>
    <t>PG&amp;E Gas Customer?</t>
  </si>
  <si>
    <t>PG&amp;E Electric Customer?</t>
  </si>
  <si>
    <t>Passes CAS Test-Out</t>
  </si>
  <si>
    <t>Prescriptive Infiltration Results</t>
  </si>
  <si>
    <t>Final Blower Door CFM50</t>
  </si>
  <si>
    <t>Tested Infiltration Results</t>
  </si>
  <si>
    <t>Pre CFM50</t>
  </si>
  <si>
    <t>Post CFM50</t>
  </si>
  <si>
    <t>Minimum 1 shell &amp; Minimim 1 HVAC measure</t>
  </si>
  <si>
    <t>&gt;= 95 AFUE</t>
  </si>
  <si>
    <r>
      <rPr>
        <sz val="11"/>
        <rFont val="Calibri"/>
        <family val="2"/>
      </rPr>
      <t xml:space="preserve">&gt;= </t>
    </r>
    <r>
      <rPr>
        <sz val="11"/>
        <rFont val="Arial"/>
        <family val="2"/>
      </rPr>
      <t>17 SEER</t>
    </r>
  </si>
  <si>
    <r>
      <rPr>
        <sz val="11"/>
        <rFont val="Calibri"/>
        <family val="2"/>
      </rPr>
      <t xml:space="preserve">&gt;= </t>
    </r>
    <r>
      <rPr>
        <sz val="11"/>
        <rFont val="Arial"/>
        <family val="2"/>
      </rPr>
      <t>17 SEER 
&gt;= 9.4 HSPF</t>
    </r>
  </si>
  <si>
    <t xml:space="preserve">&lt;= 5% Total Leakage </t>
  </si>
  <si>
    <t>&gt;= 30% Reduction</t>
  </si>
  <si>
    <t>Meets &lt;= 5% Leakage?</t>
  </si>
  <si>
    <t>Select One</t>
  </si>
  <si>
    <t xml:space="preserve">&lt;= 10% Total Leakage </t>
  </si>
  <si>
    <t xml:space="preserve">Duct Replacement </t>
  </si>
  <si>
    <t>NOTE: Ducts OR Furnace/Air Handler/FAU in Garage disqualify all duct measures.</t>
  </si>
  <si>
    <t>Meets &lt;= 10% Leakage?</t>
  </si>
  <si>
    <t>Duct Sealing System 1                                                                                                                NOTE: Ducts OR Furnace/Air Handler/FAU in Garage Disqualifies all Duct Measures</t>
  </si>
  <si>
    <t>&gt;= .64 UEF (Tank) or &gt;= .87 UEF (Tankless)</t>
  </si>
  <si>
    <r>
      <rPr>
        <sz val="11"/>
        <rFont val="Calibri"/>
        <family val="2"/>
      </rPr>
      <t xml:space="preserve">&gt;= </t>
    </r>
    <r>
      <rPr>
        <sz val="11"/>
        <rFont val="Arial"/>
        <family val="2"/>
        <scheme val="minor"/>
      </rPr>
      <t>3.1 UEF</t>
    </r>
  </si>
  <si>
    <t>Attic &amp; Wall Insulation Combo Bonus</t>
  </si>
  <si>
    <t>Both Wall &amp; Attic Insulation Measures installed</t>
  </si>
  <si>
    <t>Heat Pump Water Heater or Heat Pump Water Heater Electrification</t>
  </si>
  <si>
    <t>Heat Pump or Heat Pump Electrification</t>
  </si>
  <si>
    <t>N/A</t>
  </si>
  <si>
    <t>All Electric Home #1</t>
  </si>
  <si>
    <t>All Electric Home #2</t>
  </si>
  <si>
    <t>By checking this box, I confirm that this home has all electric appliances (no natural gas, propane or other non-electric appliances) AND there is no gas meter and/or lines present in the home</t>
  </si>
  <si>
    <t>By checking this box, I confirm that this home has all electric appliances (no natural gas, propane or other non-electric appliances)  Gas meter and/or lines are present in the home</t>
  </si>
  <si>
    <t>CAS Test Not Required</t>
  </si>
  <si>
    <t>By checking this box, I confirm that this home does not require a BPI analyst to conduct a combustion applicance safety test based on the outlined criteria.  Gas line testing is still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</si>
</sst>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0\ &quot;Pa&quot;"/>
    <numFmt numFmtId="168" formatCode="##\ &quot;ppm&quot;"/>
    <numFmt numFmtId="169" formatCode="&quot;$&quot;#,##0"/>
    <numFmt numFmtId="170" formatCode="0.000"/>
    <numFmt numFmtId="171" formatCode="mmm\ d\,\ yyyy"/>
    <numFmt numFmtId="172" formatCode="#,##0\ &quot;ppm&quot;"/>
    <numFmt numFmtId="173" formatCode="##\ &quot;Sq Ft&quot;"/>
    <numFmt numFmtId="174" formatCode="0.0%"/>
    <numFmt numFmtId="175" formatCode="##\ &quot;Sq. Ft.&quot;"/>
  </numFmts>
  <fonts count="70" x14ac:knownFonts="1">
    <font>
      <sz val="11"/>
      <color theme="1"/>
      <name val="Arial"/>
      <family val="2"/>
      <scheme val="minor"/>
    </font>
    <font>
      <b/>
      <sz val="11"/>
      <color theme="1"/>
      <name val="Arial"/>
      <family val="2"/>
      <scheme val="minor"/>
    </font>
    <font>
      <sz val="11"/>
      <name val="Arial"/>
      <family val="2"/>
      <scheme val="minor"/>
    </font>
    <font>
      <sz val="11"/>
      <color theme="1"/>
      <name val="Arial"/>
      <family val="2"/>
      <scheme val="minor"/>
    </font>
    <font>
      <sz val="11"/>
      <color rgb="FF3F3F76"/>
      <name val="Arial"/>
      <family val="2"/>
      <scheme val="minor"/>
    </font>
    <font>
      <sz val="18"/>
      <color theme="5"/>
      <name val="Arial"/>
      <family val="2"/>
      <scheme val="minor"/>
    </font>
    <font>
      <sz val="10"/>
      <name val="Arial"/>
      <family val="2"/>
    </font>
    <font>
      <sz val="11"/>
      <color indexed="8"/>
      <name val="Calibri"/>
      <family val="2"/>
    </font>
    <font>
      <sz val="11"/>
      <color indexed="63"/>
      <name val="Calibri"/>
      <family val="2"/>
    </font>
    <font>
      <sz val="11"/>
      <color indexed="9"/>
      <name val="Calibri"/>
      <family val="2"/>
    </font>
    <font>
      <sz val="11"/>
      <color indexed="20"/>
      <name val="Calibri"/>
      <family val="2"/>
    </font>
    <font>
      <b/>
      <sz val="11"/>
      <color indexed="10"/>
      <name val="Calibri"/>
      <family val="2"/>
    </font>
    <font>
      <b/>
      <sz val="11"/>
      <color indexed="52"/>
      <name val="Calibri"/>
      <family val="2"/>
    </font>
    <font>
      <b/>
      <sz val="11"/>
      <color indexed="9"/>
      <name val="Calibri"/>
      <family val="2"/>
    </font>
    <font>
      <sz val="12"/>
      <name val="Courier"/>
      <family val="3"/>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u/>
      <sz val="11"/>
      <color theme="10"/>
      <name val="Arial"/>
      <family val="2"/>
      <scheme val="minor"/>
    </font>
    <font>
      <sz val="11"/>
      <color indexed="62"/>
      <name val="Calibri"/>
      <family val="2"/>
    </font>
    <font>
      <sz val="11"/>
      <color indexed="10"/>
      <name val="Calibri"/>
      <family val="2"/>
    </font>
    <font>
      <sz val="11"/>
      <color indexed="52"/>
      <name val="Calibri"/>
      <family val="2"/>
    </font>
    <font>
      <sz val="11"/>
      <color indexed="19"/>
      <name val="Calibri"/>
      <family val="2"/>
    </font>
    <font>
      <sz val="11"/>
      <color indexed="60"/>
      <name val="Calibri"/>
      <family val="2"/>
    </font>
    <font>
      <sz val="7"/>
      <name val="Small Fonts"/>
      <family val="2"/>
    </font>
    <font>
      <sz val="12"/>
      <name val="Helv"/>
    </font>
    <font>
      <sz val="9"/>
      <name val="Arial"/>
      <family val="2"/>
    </font>
    <font>
      <b/>
      <sz val="11"/>
      <color indexed="63"/>
      <name val="Calibri"/>
      <family val="2"/>
    </font>
    <font>
      <b/>
      <sz val="18"/>
      <color indexed="62"/>
      <name val="Cambria"/>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u/>
      <sz val="22"/>
      <color theme="5"/>
      <name val="Arial"/>
      <family val="2"/>
      <scheme val="minor"/>
    </font>
    <font>
      <b/>
      <u/>
      <sz val="11"/>
      <color theme="1"/>
      <name val="Arial"/>
      <family val="2"/>
      <scheme val="minor"/>
    </font>
    <font>
      <sz val="11"/>
      <color theme="5"/>
      <name val="Arial"/>
      <family val="2"/>
      <scheme val="minor"/>
    </font>
    <font>
      <b/>
      <u/>
      <sz val="21"/>
      <color theme="5"/>
      <name val="Arial"/>
      <family val="2"/>
      <scheme val="minor"/>
    </font>
    <font>
      <b/>
      <sz val="11"/>
      <name val="Arial"/>
      <family val="2"/>
      <scheme val="minor"/>
    </font>
    <font>
      <sz val="11"/>
      <color rgb="FFFF0000"/>
      <name val="Arial"/>
      <family val="2"/>
      <scheme val="minor"/>
    </font>
    <font>
      <sz val="11"/>
      <color theme="0"/>
      <name val="Arial"/>
      <family val="2"/>
      <scheme val="minor"/>
    </font>
    <font>
      <sz val="11"/>
      <color rgb="FF0070C0"/>
      <name val="Arial"/>
      <family val="2"/>
      <scheme val="minor"/>
    </font>
    <font>
      <sz val="11"/>
      <color theme="4"/>
      <name val="Arial"/>
      <family val="2"/>
      <scheme val="minor"/>
    </font>
    <font>
      <sz val="10"/>
      <color theme="1"/>
      <name val="Arial"/>
      <family val="2"/>
      <scheme val="minor"/>
    </font>
    <font>
      <b/>
      <sz val="18"/>
      <color theme="1"/>
      <name val="Arial"/>
      <family val="2"/>
      <scheme val="minor"/>
    </font>
    <font>
      <b/>
      <sz val="14"/>
      <color theme="1"/>
      <name val="Arial"/>
      <family val="2"/>
      <scheme val="minor"/>
    </font>
    <font>
      <sz val="14"/>
      <color theme="1"/>
      <name val="Arial"/>
      <family val="2"/>
      <scheme val="minor"/>
    </font>
    <font>
      <sz val="11"/>
      <color theme="1"/>
      <name val="Calibri"/>
      <family val="2"/>
    </font>
    <font>
      <b/>
      <vertAlign val="subscript"/>
      <sz val="11"/>
      <color theme="1"/>
      <name val="Arial"/>
      <family val="2"/>
      <scheme val="minor"/>
    </font>
    <font>
      <b/>
      <sz val="11"/>
      <color indexed="8"/>
      <name val="Arial"/>
      <family val="2"/>
      <scheme val="minor"/>
    </font>
    <font>
      <b/>
      <sz val="11"/>
      <color rgb="FFFF0000"/>
      <name val="Arial"/>
      <family val="2"/>
      <scheme val="minor"/>
    </font>
    <font>
      <b/>
      <sz val="9"/>
      <name val="Arial"/>
      <family val="2"/>
      <scheme val="minor"/>
    </font>
    <font>
      <b/>
      <sz val="9"/>
      <color theme="1"/>
      <name val="Arial"/>
      <family val="2"/>
      <scheme val="minor"/>
    </font>
    <font>
      <b/>
      <sz val="11"/>
      <color theme="4"/>
      <name val="Arial"/>
      <family val="2"/>
      <scheme val="minor"/>
    </font>
    <font>
      <b/>
      <sz val="11"/>
      <color theme="1" tint="0.499984740745262"/>
      <name val="Arial"/>
      <family val="2"/>
      <scheme val="minor"/>
    </font>
    <font>
      <sz val="11"/>
      <color theme="1" tint="0.499984740745262"/>
      <name val="Arial"/>
      <family val="2"/>
      <scheme val="minor"/>
    </font>
    <font>
      <b/>
      <sz val="10"/>
      <color theme="1"/>
      <name val="Arial"/>
      <family val="2"/>
      <scheme val="minor"/>
    </font>
    <font>
      <b/>
      <sz val="10"/>
      <name val="Arial"/>
      <family val="2"/>
      <scheme val="minor"/>
    </font>
    <font>
      <u/>
      <sz val="10"/>
      <color theme="1"/>
      <name val="Arial"/>
      <family val="2"/>
      <scheme val="minor"/>
    </font>
    <font>
      <sz val="10"/>
      <name val="Arial"/>
      <family val="2"/>
      <scheme val="minor"/>
    </font>
    <font>
      <i/>
      <sz val="11"/>
      <name val="Arial"/>
      <family val="2"/>
      <scheme val="minor"/>
    </font>
    <font>
      <sz val="10"/>
      <name val="Segoe UI"/>
      <family val="2"/>
    </font>
    <font>
      <sz val="11"/>
      <name val="Calibri"/>
      <family val="2"/>
    </font>
    <font>
      <sz val="11"/>
      <name val="Arial"/>
      <family val="2"/>
    </font>
    <font>
      <sz val="11"/>
      <color theme="7" tint="0.39997558519241921"/>
      <name val="Arial"/>
      <family val="2"/>
      <scheme val="minor"/>
    </font>
    <font>
      <i/>
      <sz val="11"/>
      <color theme="7" tint="0.39997558519241921"/>
      <name val="Arial"/>
      <family val="2"/>
      <scheme val="minor"/>
    </font>
    <font>
      <sz val="8"/>
      <color rgb="FF000000"/>
      <name val="Segoe UI"/>
      <family val="2"/>
    </font>
  </fonts>
  <fills count="44">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8" tint="0.79998168889431442"/>
        <bgColor indexed="64"/>
      </patternFill>
    </fill>
    <fill>
      <patternFill patternType="solid">
        <fgColor theme="7" tint="0.39997558519241921"/>
        <bgColor indexed="64"/>
      </patternFill>
    </fill>
    <fill>
      <patternFill patternType="solid">
        <fgColor indexed="44"/>
      </patternFill>
    </fill>
    <fill>
      <patternFill patternType="solid">
        <fgColor indexed="8"/>
      </patternFill>
    </fill>
    <fill>
      <patternFill patternType="solid">
        <fgColor indexed="2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5"/>
      </patternFill>
    </fill>
    <fill>
      <patternFill patternType="solid">
        <fgColor indexed="49"/>
      </patternFill>
    </fill>
    <fill>
      <patternFill patternType="solid">
        <fgColor indexed="53"/>
      </patternFill>
    </fill>
    <fill>
      <patternFill patternType="solid">
        <fgColor indexed="51"/>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indexed="8"/>
        <bgColor indexed="64"/>
      </patternFill>
    </fill>
    <fill>
      <patternFill patternType="solid">
        <fgColor indexed="31"/>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rgb="FFFFFF00"/>
        <bgColor indexed="64"/>
      </patternFill>
    </fill>
    <fill>
      <patternFill patternType="solid">
        <fgColor theme="4" tint="0.79998168889431442"/>
        <bgColor indexed="64"/>
      </patternFill>
    </fill>
    <fill>
      <patternFill patternType="solid">
        <fgColor theme="7"/>
        <bgColor indexed="64"/>
      </patternFill>
    </fill>
    <fill>
      <patternFill patternType="solid">
        <fgColor theme="9" tint="-0.249977111117893"/>
        <bgColor indexed="64"/>
      </patternFill>
    </fill>
    <fill>
      <patternFill patternType="solid">
        <fgColor theme="5" tint="0.749992370372631"/>
        <bgColor indexed="64"/>
      </patternFill>
    </fill>
    <fill>
      <patternFill patternType="solid">
        <fgColor theme="8"/>
        <bgColor indexed="64"/>
      </patternFill>
    </fill>
    <fill>
      <patternFill patternType="solid">
        <fgColor rgb="FFFFC7CE"/>
        <bgColor indexed="64"/>
      </patternFill>
    </fill>
    <fill>
      <patternFill patternType="solid">
        <fgColor theme="5" tint="0.89999084444715716"/>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9.9978637043366805E-2"/>
        <bgColor indexed="64"/>
      </patternFill>
    </fill>
  </fills>
  <borders count="9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49"/>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49"/>
      </top>
      <bottom style="double">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medium">
        <color auto="1"/>
      </right>
      <top/>
      <bottom style="thin">
        <color auto="1"/>
      </bottom>
      <diagonal/>
    </border>
    <border>
      <left/>
      <right/>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1651">
    <xf numFmtId="0" fontId="0" fillId="0" borderId="0"/>
    <xf numFmtId="0" fontId="7" fillId="6"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9" borderId="0" applyNumberFormat="0" applyBorder="0" applyAlignment="0" applyProtection="0"/>
    <xf numFmtId="0" fontId="8" fillId="7"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0" borderId="0" applyNumberFormat="0" applyBorder="0" applyAlignment="0" applyProtection="0"/>
    <xf numFmtId="0" fontId="8" fillId="9"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8" fillId="12" borderId="0" applyNumberFormat="0" applyBorder="0" applyAlignment="0" applyProtection="0"/>
    <xf numFmtId="0" fontId="7" fillId="11" borderId="0" applyNumberFormat="0" applyBorder="0" applyAlignment="0" applyProtection="0"/>
    <xf numFmtId="0" fontId="8" fillId="6" borderId="0" applyNumberFormat="0" applyBorder="0" applyAlignment="0" applyProtection="0"/>
    <xf numFmtId="0" fontId="7" fillId="10" borderId="0" applyNumberFormat="0" applyBorder="0" applyAlignment="0" applyProtection="0"/>
    <xf numFmtId="0" fontId="8" fillId="9" borderId="0" applyNumberFormat="0" applyBorder="0" applyAlignment="0" applyProtection="0"/>
    <xf numFmtId="0" fontId="9" fillId="1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8"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10" fillId="22" borderId="0" applyNumberFormat="0" applyBorder="0" applyAlignment="0" applyProtection="0"/>
    <xf numFmtId="0" fontId="10" fillId="14" borderId="0" applyNumberFormat="0" applyBorder="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3" fillId="24" borderId="17" applyNumberFormat="0" applyAlignment="0" applyProtection="0"/>
    <xf numFmtId="0" fontId="13" fillId="24" borderId="17" applyNumberFormat="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11" borderId="0" applyNumberFormat="0" applyBorder="0" applyAlignment="0" applyProtection="0"/>
    <xf numFmtId="0" fontId="16" fillId="25" borderId="0" applyNumberFormat="0" applyBorder="0" applyAlignment="0" applyProtection="0"/>
    <xf numFmtId="0" fontId="17" fillId="0" borderId="18" applyNumberFormat="0" applyFill="0" applyAlignment="0" applyProtection="0"/>
    <xf numFmtId="0" fontId="17" fillId="0" borderId="19" applyNumberFormat="0" applyFill="0" applyAlignment="0" applyProtection="0"/>
    <xf numFmtId="0" fontId="18" fillId="0" borderId="20" applyNumberFormat="0" applyFill="0" applyAlignment="0" applyProtection="0"/>
    <xf numFmtId="0" fontId="18" fillId="0" borderId="21"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13" borderId="16" applyNumberFormat="0" applyAlignment="0" applyProtection="0"/>
    <xf numFmtId="0" fontId="4" fillId="3" borderId="15" applyNumberFormat="0" applyAlignment="0" applyProtection="0"/>
    <xf numFmtId="0" fontId="22" fillId="1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3" fillId="0" borderId="24" applyNumberFormat="0" applyFill="0" applyAlignment="0" applyProtection="0"/>
    <xf numFmtId="0" fontId="24" fillId="0" borderId="25" applyNumberFormat="0" applyFill="0" applyAlignment="0" applyProtection="0"/>
    <xf numFmtId="0" fontId="25" fillId="13" borderId="0" applyNumberFormat="0" applyBorder="0" applyAlignment="0" applyProtection="0"/>
    <xf numFmtId="0" fontId="26" fillId="13" borderId="0" applyNumberFormat="0" applyBorder="0" applyAlignment="0" applyProtection="0"/>
    <xf numFmtId="37" fontId="27" fillId="0" borderId="0"/>
    <xf numFmtId="37" fontId="27" fillId="0" borderId="0"/>
    <xf numFmtId="37" fontId="27" fillId="0" borderId="0"/>
    <xf numFmtId="37" fontId="27" fillId="0" borderId="0"/>
    <xf numFmtId="37"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6" fillId="0" borderId="0"/>
    <xf numFmtId="0" fontId="3" fillId="0" borderId="0"/>
    <xf numFmtId="0" fontId="6" fillId="0" borderId="0"/>
    <xf numFmtId="165" fontId="14" fillId="0" borderId="0"/>
    <xf numFmtId="165" fontId="14" fillId="0" borderId="0"/>
    <xf numFmtId="165" fontId="14" fillId="0" borderId="0"/>
    <xf numFmtId="0" fontId="28"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6"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26" borderId="0"/>
    <xf numFmtId="0" fontId="29" fillId="26"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10" borderId="26" applyNumberFormat="0" applyFont="0" applyAlignment="0" applyProtection="0"/>
    <xf numFmtId="0" fontId="6"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11" fillId="23" borderId="16" applyNumberFormat="0" applyAlignment="0" applyProtection="0"/>
    <xf numFmtId="0" fontId="12" fillId="23" borderId="16" applyNumberFormat="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22" fillId="9" borderId="16"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22" fillId="9" borderId="16"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22" fillId="9" borderId="16"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6"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11" fillId="23" borderId="16" applyNumberFormat="0" applyAlignment="0" applyProtection="0"/>
    <xf numFmtId="0" fontId="12" fillId="23" borderId="16" applyNumberFormat="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22" fillId="9" borderId="16"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22" fillId="9" borderId="16"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22" fillId="9" borderId="16"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7" fillId="6" borderId="0" applyNumberFormat="0" applyBorder="0" applyAlignment="0" applyProtection="0"/>
    <xf numFmtId="0" fontId="7" fillId="27"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25" borderId="0" applyNumberFormat="0" applyBorder="0" applyAlignment="0" applyProtection="0"/>
    <xf numFmtId="0" fontId="7" fillId="9" borderId="0" applyNumberFormat="0" applyBorder="0" applyAlignment="0" applyProtection="0"/>
    <xf numFmtId="0" fontId="7" fillId="22"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3"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9" fillId="29"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8"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4"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8" borderId="0" applyNumberFormat="0" applyBorder="0" applyAlignment="0" applyProtection="0"/>
    <xf numFmtId="0" fontId="9" fillId="31" borderId="0" applyNumberFormat="0" applyBorder="0" applyAlignment="0" applyProtection="0"/>
    <xf numFmtId="0" fontId="9" fillId="18" borderId="0" applyNumberFormat="0" applyBorder="0" applyAlignment="0" applyProtection="0"/>
    <xf numFmtId="0" fontId="9" fillId="32"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30"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10" fillId="22" borderId="0" applyNumberFormat="0" applyBorder="0" applyAlignment="0" applyProtection="0"/>
    <xf numFmtId="0" fontId="10" fillId="14" borderId="0" applyNumberFormat="0" applyBorder="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2" fillId="12" borderId="30" applyNumberFormat="0" applyAlignment="0" applyProtection="0"/>
    <xf numFmtId="0" fontId="12" fillId="12"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44" fontId="3" fillId="0" borderId="0" applyFont="0" applyFill="0" applyBorder="0" applyAlignment="0" applyProtection="0"/>
    <xf numFmtId="44" fontId="6" fillId="0" borderId="0" applyFont="0" applyFill="0" applyBorder="0" applyAlignment="0" applyProtection="0"/>
    <xf numFmtId="0" fontId="16" fillId="11" borderId="0" applyNumberFormat="0" applyBorder="0" applyAlignment="0" applyProtection="0"/>
    <xf numFmtId="0" fontId="16" fillId="25" borderId="0" applyNumberFormat="0" applyBorder="0" applyAlignment="0" applyProtection="0"/>
    <xf numFmtId="0" fontId="17" fillId="0" borderId="18" applyNumberFormat="0" applyFill="0" applyAlignment="0" applyProtection="0"/>
    <xf numFmtId="0" fontId="33" fillId="0" borderId="31" applyNumberFormat="0" applyFill="0" applyAlignment="0" applyProtection="0"/>
    <xf numFmtId="0" fontId="18" fillId="0" borderId="20" applyNumberFormat="0" applyFill="0" applyAlignment="0" applyProtection="0"/>
    <xf numFmtId="0" fontId="34" fillId="0" borderId="21"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0" applyNumberFormat="0" applyFill="0" applyBorder="0" applyAlignment="0" applyProtection="0"/>
    <xf numFmtId="0" fontId="35" fillId="0" borderId="0" applyNumberFormat="0" applyFill="0" applyBorder="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3" fillId="0" borderId="24" applyNumberFormat="0" applyFill="0" applyAlignment="0" applyProtection="0"/>
    <xf numFmtId="0" fontId="24" fillId="0" borderId="25" applyNumberFormat="0" applyFill="0" applyAlignment="0" applyProtection="0"/>
    <xf numFmtId="0" fontId="25" fillId="13" borderId="0" applyNumberFormat="0" applyBorder="0" applyAlignment="0" applyProtection="0"/>
    <xf numFmtId="0" fontId="26" fillId="13" borderId="0" applyNumberFormat="0" applyBorder="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12" borderId="34" applyNumberFormat="0" applyAlignment="0" applyProtection="0"/>
    <xf numFmtId="0" fontId="30" fillId="12"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6" applyNumberFormat="0" applyFill="0" applyAlignment="0" applyProtection="0"/>
    <xf numFmtId="0" fontId="32" fillId="0" borderId="36" applyNumberFormat="0" applyFill="0" applyAlignment="0" applyProtection="0"/>
    <xf numFmtId="0" fontId="32" fillId="0" borderId="36"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540">
    <xf numFmtId="0" fontId="0" fillId="0" borderId="0" xfId="0"/>
    <xf numFmtId="0" fontId="0" fillId="0" borderId="0" xfId="0" applyBorder="1"/>
    <xf numFmtId="0" fontId="0" fillId="0" borderId="0" xfId="0"/>
    <xf numFmtId="0" fontId="0" fillId="0" borderId="0" xfId="0" applyFill="1"/>
    <xf numFmtId="0" fontId="1" fillId="0" borderId="0" xfId="0" applyFont="1" applyFill="1"/>
    <xf numFmtId="0" fontId="5" fillId="0" borderId="0" xfId="0" applyFont="1" applyFill="1" applyBorder="1" applyAlignment="1" applyProtection="1">
      <alignment horizontal="left"/>
      <protection hidden="1"/>
    </xf>
    <xf numFmtId="0" fontId="0" fillId="0" borderId="0" xfId="0" applyFill="1" applyBorder="1"/>
    <xf numFmtId="0" fontId="0" fillId="0" borderId="0" xfId="0" applyFill="1" applyBorder="1" applyAlignment="1">
      <alignment horizontal="center"/>
    </xf>
    <xf numFmtId="0" fontId="0" fillId="0" borderId="0" xfId="0"/>
    <xf numFmtId="0" fontId="0" fillId="0" borderId="0" xfId="0"/>
    <xf numFmtId="0" fontId="1" fillId="0" borderId="0" xfId="0" applyFont="1"/>
    <xf numFmtId="0" fontId="0" fillId="0" borderId="0" xfId="0" applyFill="1"/>
    <xf numFmtId="0" fontId="37" fillId="2" borderId="0" xfId="0" applyFont="1" applyFill="1" applyBorder="1" applyAlignment="1" applyProtection="1"/>
    <xf numFmtId="0" fontId="0" fillId="0" borderId="0" xfId="0" applyBorder="1" applyAlignment="1">
      <alignment horizontal="left"/>
    </xf>
    <xf numFmtId="0" fontId="38"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2" fillId="0" borderId="0" xfId="0" applyFont="1"/>
    <xf numFmtId="0" fontId="40" fillId="2" borderId="0" xfId="0" applyFont="1" applyFill="1" applyBorder="1" applyAlignment="1" applyProtection="1"/>
    <xf numFmtId="0" fontId="0" fillId="0" borderId="0" xfId="0" applyAlignment="1">
      <alignment wrapText="1"/>
    </xf>
    <xf numFmtId="0" fontId="43" fillId="0" borderId="0" xfId="0" applyFont="1"/>
    <xf numFmtId="0" fontId="0" fillId="0" borderId="0" xfId="0" applyAlignment="1">
      <alignment horizontal="center"/>
    </xf>
    <xf numFmtId="0" fontId="43" fillId="0" borderId="0" xfId="0" applyFont="1" applyAlignment="1">
      <alignment horizontal="center"/>
    </xf>
    <xf numFmtId="0" fontId="2" fillId="0" borderId="0" xfId="0" applyFont="1" applyAlignment="1">
      <alignment horizontal="center"/>
    </xf>
    <xf numFmtId="166" fontId="0" fillId="0" borderId="0" xfId="1648" applyNumberFormat="1" applyFont="1" applyAlignment="1">
      <alignment horizontal="center" vertical="center"/>
    </xf>
    <xf numFmtId="166" fontId="43" fillId="0" borderId="0" xfId="1648" applyNumberFormat="1" applyFont="1" applyAlignment="1">
      <alignment horizontal="center" vertical="center"/>
    </xf>
    <xf numFmtId="166" fontId="2" fillId="2" borderId="0" xfId="1648" applyNumberFormat="1" applyFont="1" applyFill="1" applyBorder="1" applyAlignment="1">
      <alignment horizontal="center" vertical="center"/>
    </xf>
    <xf numFmtId="0" fontId="2" fillId="0" borderId="0" xfId="0" applyFont="1" applyBorder="1" applyAlignment="1">
      <alignment horizontal="left"/>
    </xf>
    <xf numFmtId="2" fontId="2" fillId="0" borderId="0" xfId="0" applyNumberFormat="1" applyFont="1" applyBorder="1" applyAlignment="1">
      <alignment horizontal="left" vertical="center"/>
    </xf>
    <xf numFmtId="2" fontId="2" fillId="0" borderId="0" xfId="0" applyNumberFormat="1" applyFont="1" applyBorder="1" applyAlignment="1">
      <alignment horizontal="left"/>
    </xf>
    <xf numFmtId="0" fontId="0" fillId="0" borderId="0" xfId="0" applyFont="1" applyFill="1" applyBorder="1" applyAlignment="1">
      <alignment horizontal="left" vertical="top"/>
    </xf>
    <xf numFmtId="0" fontId="38" fillId="2" borderId="0" xfId="0" applyFont="1" applyFill="1" applyBorder="1" applyAlignment="1">
      <alignment horizontal="left"/>
    </xf>
    <xf numFmtId="0" fontId="37" fillId="2" borderId="0" xfId="0" applyFont="1" applyFill="1" applyBorder="1" applyAlignment="1" applyProtection="1">
      <protection locked="0"/>
    </xf>
    <xf numFmtId="0" fontId="0" fillId="0" borderId="0" xfId="0" applyBorder="1" applyProtection="1">
      <protection locked="0"/>
    </xf>
    <xf numFmtId="0" fontId="0" fillId="0" borderId="0" xfId="0" applyFont="1" applyAlignment="1" applyProtection="1"/>
    <xf numFmtId="0" fontId="37" fillId="2" borderId="0" xfId="0" applyFont="1" applyFill="1" applyBorder="1" applyAlignment="1" applyProtection="1">
      <alignment vertical="center"/>
    </xf>
    <xf numFmtId="0" fontId="0" fillId="0" borderId="0" xfId="0" applyAlignment="1">
      <alignment vertical="center"/>
    </xf>
    <xf numFmtId="0" fontId="0" fillId="0" borderId="0" xfId="0" applyFill="1" applyAlignment="1">
      <alignment vertical="center"/>
    </xf>
    <xf numFmtId="0" fontId="5" fillId="0" borderId="0" xfId="0" applyFont="1" applyFill="1" applyBorder="1" applyAlignment="1" applyProtection="1">
      <alignment horizontal="left" vertical="center"/>
      <protection hidden="1"/>
    </xf>
    <xf numFmtId="0" fontId="1" fillId="0" borderId="0" xfId="0" applyFont="1" applyAlignment="1">
      <alignment vertical="center"/>
    </xf>
    <xf numFmtId="0" fontId="1" fillId="0" borderId="0" xfId="0" applyFont="1" applyFill="1" applyAlignment="1">
      <alignment vertical="center"/>
    </xf>
    <xf numFmtId="0" fontId="39" fillId="0" borderId="0" xfId="0" applyFont="1" applyFill="1" applyBorder="1" applyAlignment="1" applyProtection="1">
      <alignment horizontal="left" vertical="center"/>
      <protection hidden="1"/>
    </xf>
    <xf numFmtId="0" fontId="0" fillId="2" borderId="0" xfId="0" applyFill="1" applyProtection="1">
      <protection hidden="1"/>
    </xf>
    <xf numFmtId="0" fontId="49" fillId="0" borderId="0" xfId="0" applyFont="1" applyAlignment="1">
      <alignment horizontal="left" vertical="top"/>
    </xf>
    <xf numFmtId="0" fontId="0" fillId="0" borderId="0" xfId="0" applyBorder="1" applyAlignment="1">
      <alignment vertical="center"/>
    </xf>
    <xf numFmtId="170" fontId="0" fillId="0" borderId="0" xfId="0" applyNumberFormat="1"/>
    <xf numFmtId="0" fontId="1" fillId="0" borderId="41" xfId="0" applyFont="1" applyFill="1" applyBorder="1" applyAlignment="1" applyProtection="1">
      <alignment horizontal="left" vertical="center"/>
    </xf>
    <xf numFmtId="0" fontId="1" fillId="0" borderId="42" xfId="0" applyFont="1" applyFill="1" applyBorder="1" applyAlignment="1" applyProtection="1">
      <alignment horizontal="left" vertical="center"/>
    </xf>
    <xf numFmtId="0" fontId="1" fillId="0" borderId="0" xfId="0" applyFont="1" applyAlignment="1" applyProtection="1">
      <alignment horizontal="left" vertical="center"/>
    </xf>
    <xf numFmtId="0" fontId="52" fillId="2" borderId="41" xfId="0" applyNumberFormat="1" applyFont="1" applyFill="1" applyBorder="1" applyAlignment="1" applyProtection="1">
      <alignment horizontal="left" vertical="center" wrapText="1"/>
    </xf>
    <xf numFmtId="0" fontId="0" fillId="0" borderId="39" xfId="0" applyBorder="1" applyAlignment="1">
      <alignment wrapText="1"/>
    </xf>
    <xf numFmtId="0" fontId="0" fillId="0" borderId="0" xfId="0" applyAlignment="1"/>
    <xf numFmtId="0" fontId="0" fillId="0" borderId="0" xfId="0" applyAlignment="1">
      <alignment horizontal="left" vertical="center" wrapText="1"/>
    </xf>
    <xf numFmtId="0" fontId="0" fillId="0" borderId="39" xfId="0" applyBorder="1" applyAlignment="1"/>
    <xf numFmtId="0" fontId="0" fillId="0" borderId="0" xfId="0" applyProtection="1"/>
    <xf numFmtId="0" fontId="0" fillId="0" borderId="0" xfId="0" applyFont="1" applyAlignment="1" applyProtection="1">
      <alignment horizontal="left" indent="1"/>
    </xf>
    <xf numFmtId="0" fontId="41" fillId="2" borderId="41" xfId="0" applyFont="1" applyFill="1" applyBorder="1" applyAlignment="1" applyProtection="1">
      <alignment horizontal="left" vertical="center"/>
    </xf>
    <xf numFmtId="0" fontId="0" fillId="0" borderId="0" xfId="0" applyFont="1" applyBorder="1" applyAlignment="1" applyProtection="1"/>
    <xf numFmtId="0" fontId="1" fillId="2" borderId="0" xfId="0" applyFont="1" applyFill="1" applyProtection="1"/>
    <xf numFmtId="0" fontId="0" fillId="2" borderId="0" xfId="0" applyFill="1" applyProtection="1"/>
    <xf numFmtId="0" fontId="1" fillId="2" borderId="0" xfId="0" applyFont="1" applyFill="1" applyAlignment="1" applyProtection="1">
      <alignment horizontal="left" vertical="center"/>
    </xf>
    <xf numFmtId="0" fontId="0" fillId="2" borderId="0" xfId="0" applyFill="1" applyAlignment="1" applyProtection="1">
      <alignment horizontal="center" vertical="center"/>
    </xf>
    <xf numFmtId="0" fontId="0" fillId="2" borderId="0" xfId="0" applyFill="1" applyBorder="1" applyAlignment="1" applyProtection="1">
      <alignment horizontal="center" vertical="center"/>
    </xf>
    <xf numFmtId="0" fontId="0" fillId="2" borderId="0" xfId="0" applyFill="1" applyAlignment="1" applyProtection="1"/>
    <xf numFmtId="0" fontId="0" fillId="2" borderId="0" xfId="0" applyFill="1" applyAlignment="1" applyProtection="1">
      <alignment wrapText="1"/>
    </xf>
    <xf numFmtId="0" fontId="50" fillId="2" borderId="0" xfId="0" applyFont="1" applyFill="1" applyProtection="1"/>
    <xf numFmtId="0" fontId="1" fillId="0" borderId="0" xfId="0" applyFont="1" applyProtection="1"/>
    <xf numFmtId="0" fontId="42" fillId="0" borderId="0" xfId="0" applyFont="1" applyAlignment="1" applyProtection="1">
      <alignment vertical="top"/>
    </xf>
    <xf numFmtId="0" fontId="0" fillId="0" borderId="0" xfId="0" applyAlignment="1" applyProtection="1">
      <alignment vertical="top"/>
    </xf>
    <xf numFmtId="0" fontId="42" fillId="0" borderId="0" xfId="0" applyFont="1" applyAlignment="1" applyProtection="1">
      <alignment vertical="top" wrapText="1"/>
    </xf>
    <xf numFmtId="0" fontId="45" fillId="0" borderId="0" xfId="0" applyFont="1" applyAlignment="1" applyProtection="1">
      <alignment vertical="top" wrapText="1"/>
    </xf>
    <xf numFmtId="0" fontId="2" fillId="0" borderId="0" xfId="0" applyFont="1" applyFill="1" applyBorder="1" applyAlignment="1" applyProtection="1">
      <alignment horizontal="right"/>
    </xf>
    <xf numFmtId="0" fontId="2" fillId="0" borderId="0" xfId="0" applyFont="1" applyFill="1" applyBorder="1" applyAlignment="1" applyProtection="1"/>
    <xf numFmtId="0" fontId="45" fillId="0" borderId="0" xfId="0" applyFont="1" applyAlignment="1" applyProtection="1">
      <alignment vertical="top"/>
    </xf>
    <xf numFmtId="0" fontId="44" fillId="0" borderId="0" xfId="0" applyFont="1" applyBorder="1" applyAlignment="1" applyProtection="1">
      <alignment vertical="top"/>
    </xf>
    <xf numFmtId="0" fontId="44" fillId="0" borderId="0" xfId="0" applyFont="1" applyAlignment="1" applyProtection="1">
      <alignment vertical="top" wrapText="1"/>
    </xf>
    <xf numFmtId="0" fontId="49" fillId="0" borderId="0" xfId="0" applyFont="1" applyAlignment="1" applyProtection="1">
      <alignment horizontal="left" vertical="top"/>
    </xf>
    <xf numFmtId="0" fontId="49" fillId="0" borderId="0" xfId="0" applyFont="1" applyAlignment="1" applyProtection="1">
      <alignment horizontal="left" vertical="top" wrapText="1"/>
    </xf>
    <xf numFmtId="0" fontId="1" fillId="2" borderId="0" xfId="0" applyFont="1" applyFill="1" applyBorder="1" applyAlignment="1" applyProtection="1">
      <alignment horizontal="left" vertical="center"/>
    </xf>
    <xf numFmtId="0" fontId="1" fillId="2" borderId="14" xfId="0" applyFont="1" applyFill="1" applyBorder="1" applyAlignment="1" applyProtection="1">
      <alignment horizontal="left" vertical="center"/>
    </xf>
    <xf numFmtId="0" fontId="1" fillId="2" borderId="0" xfId="0" applyFont="1" applyFill="1" applyAlignment="1" applyProtection="1">
      <alignment horizontal="left"/>
    </xf>
    <xf numFmtId="0" fontId="1" fillId="2" borderId="8" xfId="0" applyFont="1" applyFill="1" applyBorder="1" applyAlignment="1" applyProtection="1">
      <alignment horizontal="left" vertical="center"/>
    </xf>
    <xf numFmtId="0" fontId="1" fillId="2" borderId="0" xfId="0" applyFont="1" applyFill="1" applyBorder="1" applyAlignment="1" applyProtection="1">
      <alignment horizontal="left"/>
    </xf>
    <xf numFmtId="0" fontId="1" fillId="2" borderId="6"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1" fontId="1" fillId="2" borderId="6" xfId="0" applyNumberFormat="1" applyFont="1" applyFill="1" applyBorder="1" applyAlignment="1" applyProtection="1">
      <alignment horizontal="left" vertical="center"/>
    </xf>
    <xf numFmtId="1" fontId="1" fillId="2" borderId="0" xfId="0" applyNumberFormat="1" applyFont="1" applyFill="1" applyBorder="1" applyAlignment="1" applyProtection="1">
      <alignment horizontal="left" vertical="center"/>
    </xf>
    <xf numFmtId="0" fontId="1" fillId="2" borderId="0" xfId="0" applyFont="1" applyFill="1" applyBorder="1" applyAlignment="1" applyProtection="1"/>
    <xf numFmtId="0" fontId="1" fillId="0" borderId="0" xfId="0" applyFont="1" applyBorder="1" applyAlignment="1" applyProtection="1">
      <alignment horizontal="left"/>
    </xf>
    <xf numFmtId="0" fontId="1" fillId="0" borderId="0" xfId="0" applyFont="1" applyBorder="1" applyAlignment="1" applyProtection="1">
      <alignment horizontal="center"/>
    </xf>
    <xf numFmtId="0" fontId="1" fillId="0" borderId="0" xfId="0" applyFont="1" applyAlignment="1" applyProtection="1">
      <alignment horizontal="right"/>
    </xf>
    <xf numFmtId="0" fontId="1" fillId="37" borderId="6" xfId="0" applyFont="1" applyFill="1" applyBorder="1" applyAlignment="1" applyProtection="1">
      <alignment horizontal="center" vertical="center"/>
    </xf>
    <xf numFmtId="0" fontId="1" fillId="38" borderId="6"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1" fontId="1" fillId="2" borderId="12" xfId="0" applyNumberFormat="1" applyFont="1" applyFill="1" applyBorder="1" applyAlignment="1" applyProtection="1">
      <alignment horizontal="center" vertical="center"/>
    </xf>
    <xf numFmtId="164" fontId="1" fillId="2" borderId="7"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1" fontId="1" fillId="0" borderId="6" xfId="0" applyNumberFormat="1" applyFont="1" applyBorder="1" applyAlignment="1" applyProtection="1">
      <alignment horizontal="center" vertical="center"/>
    </xf>
    <xf numFmtId="2" fontId="1" fillId="2" borderId="7" xfId="0" applyNumberFormat="1" applyFont="1" applyFill="1" applyBorder="1" applyAlignment="1" applyProtection="1">
      <alignment horizontal="center" vertical="center"/>
    </xf>
    <xf numFmtId="2" fontId="1" fillId="2" borderId="14" xfId="0" applyNumberFormat="1" applyFont="1" applyFill="1" applyBorder="1" applyAlignment="1" applyProtection="1">
      <alignment horizontal="center" vertical="center"/>
    </xf>
    <xf numFmtId="0" fontId="1" fillId="0" borderId="0" xfId="0" applyFont="1" applyBorder="1" applyProtection="1"/>
    <xf numFmtId="0" fontId="1" fillId="0" borderId="0" xfId="0" applyFont="1" applyAlignment="1" applyProtection="1">
      <alignment wrapText="1"/>
    </xf>
    <xf numFmtId="0" fontId="53" fillId="2" borderId="0" xfId="0" applyFont="1" applyFill="1" applyProtection="1"/>
    <xf numFmtId="0" fontId="1" fillId="0" borderId="6" xfId="0" applyFont="1" applyBorder="1" applyAlignment="1" applyProtection="1">
      <alignment horizontal="center" vertical="center"/>
    </xf>
    <xf numFmtId="10" fontId="1" fillId="0" borderId="6" xfId="0" applyNumberFormat="1" applyFont="1" applyBorder="1" applyAlignment="1" applyProtection="1">
      <alignment horizontal="center" vertical="center"/>
    </xf>
    <xf numFmtId="0" fontId="1" fillId="34" borderId="6" xfId="0" applyFont="1" applyFill="1" applyBorder="1" applyAlignment="1" applyProtection="1">
      <alignment horizontal="center" vertical="center"/>
    </xf>
    <xf numFmtId="0" fontId="1" fillId="34" borderId="13" xfId="0" applyFont="1" applyFill="1" applyBorder="1" applyAlignment="1" applyProtection="1">
      <alignment vertical="center"/>
    </xf>
    <xf numFmtId="0" fontId="1" fillId="34" borderId="6" xfId="0" applyFont="1" applyFill="1" applyBorder="1" applyAlignment="1" applyProtection="1">
      <alignment horizontal="center"/>
    </xf>
    <xf numFmtId="0" fontId="1" fillId="0" borderId="0" xfId="0" applyFont="1" applyBorder="1" applyAlignment="1" applyProtection="1">
      <alignment horizontal="center" vertical="top" wrapText="1"/>
    </xf>
    <xf numFmtId="0" fontId="1" fillId="35" borderId="11" xfId="0" applyFont="1" applyFill="1" applyBorder="1" applyAlignment="1" applyProtection="1">
      <alignment horizontal="left" vertical="center"/>
    </xf>
    <xf numFmtId="44" fontId="1" fillId="0" borderId="6" xfId="1649" applyFont="1" applyBorder="1" applyAlignment="1" applyProtection="1">
      <alignment horizontal="left" vertical="center"/>
    </xf>
    <xf numFmtId="0" fontId="0" fillId="0" borderId="0" xfId="0" applyAlignment="1" applyProtection="1">
      <alignment horizontal="right"/>
    </xf>
    <xf numFmtId="0" fontId="0" fillId="0" borderId="0" xfId="0" applyFont="1" applyAlignment="1" applyProtection="1">
      <alignment horizontal="center" vertical="center"/>
    </xf>
    <xf numFmtId="0" fontId="0" fillId="4" borderId="0" xfId="0" applyFill="1" applyAlignment="1">
      <alignment wrapText="1"/>
    </xf>
    <xf numFmtId="0" fontId="0" fillId="4" borderId="0" xfId="0" applyFill="1" applyAlignment="1">
      <alignment horizontal="left" vertical="center" wrapText="1"/>
    </xf>
    <xf numFmtId="0" fontId="0" fillId="4" borderId="0" xfId="0" applyFill="1"/>
    <xf numFmtId="0" fontId="57" fillId="5" borderId="39" xfId="0" applyFont="1" applyFill="1" applyBorder="1" applyAlignment="1" applyProtection="1">
      <alignment horizontal="center" vertical="center"/>
    </xf>
    <xf numFmtId="0" fontId="57" fillId="5" borderId="40" xfId="0" applyFont="1" applyFill="1" applyBorder="1" applyAlignment="1" applyProtection="1">
      <alignment horizontal="center" vertical="center"/>
    </xf>
    <xf numFmtId="0" fontId="57" fillId="4" borderId="39" xfId="0" applyFont="1" applyFill="1" applyBorder="1" applyAlignment="1" applyProtection="1">
      <alignment horizontal="center" vertical="center"/>
      <protection locked="0"/>
    </xf>
    <xf numFmtId="0" fontId="57" fillId="4" borderId="40" xfId="0" applyFont="1" applyFill="1" applyBorder="1" applyAlignment="1" applyProtection="1">
      <alignment horizontal="center" vertical="center"/>
      <protection locked="0"/>
    </xf>
    <xf numFmtId="1" fontId="57" fillId="33" borderId="43" xfId="0" applyNumberFormat="1" applyFont="1" applyFill="1" applyBorder="1" applyAlignment="1" applyProtection="1">
      <alignment horizontal="center" vertical="center"/>
    </xf>
    <xf numFmtId="1" fontId="57" fillId="33" borderId="44" xfId="0" applyNumberFormat="1" applyFont="1" applyFill="1" applyBorder="1" applyAlignment="1" applyProtection="1">
      <alignment horizontal="center" vertical="center"/>
    </xf>
    <xf numFmtId="0" fontId="1" fillId="0" borderId="0" xfId="0" applyFont="1" applyBorder="1"/>
    <xf numFmtId="0" fontId="1" fillId="0" borderId="0" xfId="0" applyFont="1" applyBorder="1" applyAlignment="1">
      <alignment horizontal="center" vertical="center"/>
    </xf>
    <xf numFmtId="0" fontId="1" fillId="5" borderId="0" xfId="0" applyFont="1" applyFill="1" applyBorder="1"/>
    <xf numFmtId="0" fontId="1" fillId="5" borderId="39" xfId="0" applyFont="1" applyFill="1" applyBorder="1" applyAlignment="1">
      <alignment horizontal="center" vertical="center"/>
    </xf>
    <xf numFmtId="1" fontId="1" fillId="5" borderId="39" xfId="0" applyNumberFormat="1" applyFont="1" applyFill="1" applyBorder="1" applyAlignment="1">
      <alignment horizontal="center" vertical="center"/>
    </xf>
    <xf numFmtId="2" fontId="1" fillId="5" borderId="39" xfId="0" applyNumberFormat="1" applyFont="1" applyFill="1" applyBorder="1" applyAlignment="1">
      <alignment horizontal="center" vertical="center"/>
    </xf>
    <xf numFmtId="0" fontId="1" fillId="38" borderId="0" xfId="0" applyFont="1" applyFill="1" applyBorder="1"/>
    <xf numFmtId="0" fontId="1" fillId="38" borderId="0" xfId="0" applyFont="1" applyFill="1" applyBorder="1" applyAlignment="1">
      <alignment horizontal="center" vertical="center"/>
    </xf>
    <xf numFmtId="0" fontId="41" fillId="0" borderId="0" xfId="0" applyFont="1" applyAlignment="1" applyProtection="1">
      <alignment horizontal="left" vertical="top" wrapText="1"/>
    </xf>
    <xf numFmtId="0" fontId="2" fillId="0" borderId="0" xfId="0" applyFont="1" applyAlignment="1" applyProtection="1">
      <alignment horizontal="left" vertical="top" wrapText="1"/>
    </xf>
    <xf numFmtId="2" fontId="2" fillId="0" borderId="0" xfId="0" applyNumberFormat="1"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0" fillId="0" borderId="0" xfId="0" applyFont="1" applyAlignment="1" applyProtection="1">
      <alignment horizontal="left" vertical="top"/>
    </xf>
    <xf numFmtId="0" fontId="1" fillId="0" borderId="0" xfId="0" applyFont="1" applyAlignment="1" applyProtection="1">
      <alignment horizontal="left" vertical="top" wrapText="1"/>
    </xf>
    <xf numFmtId="0" fontId="0" fillId="0" borderId="0" xfId="0" applyFont="1" applyAlignment="1" applyProtection="1">
      <alignment horizontal="left" vertical="top" wrapText="1"/>
    </xf>
    <xf numFmtId="0" fontId="0" fillId="35" borderId="0" xfId="0" applyFill="1"/>
    <xf numFmtId="0" fontId="0" fillId="5" borderId="0" xfId="0" applyFill="1"/>
    <xf numFmtId="0" fontId="0" fillId="0" borderId="0" xfId="0" applyAlignment="1">
      <alignment horizontal="center" vertical="center"/>
    </xf>
    <xf numFmtId="0" fontId="0" fillId="5" borderId="0" xfId="0" applyFill="1" applyAlignment="1">
      <alignment horizontal="left" vertical="center"/>
    </xf>
    <xf numFmtId="0" fontId="0" fillId="0" borderId="0" xfId="0" applyAlignment="1">
      <alignment horizontal="left" vertical="center"/>
    </xf>
    <xf numFmtId="0" fontId="1" fillId="5" borderId="0" xfId="0" applyFont="1" applyFill="1" applyAlignment="1">
      <alignment horizontal="left" vertical="center"/>
    </xf>
    <xf numFmtId="0" fontId="1" fillId="5" borderId="0" xfId="0" applyFont="1" applyFill="1" applyAlignment="1">
      <alignment horizontal="center" vertical="center"/>
    </xf>
    <xf numFmtId="0" fontId="0" fillId="38" borderId="0" xfId="0" applyFill="1"/>
    <xf numFmtId="0" fontId="0" fillId="35" borderId="0" xfId="0" applyFill="1" applyAlignment="1">
      <alignment horizontal="center" vertical="center"/>
    </xf>
    <xf numFmtId="1" fontId="1" fillId="38" borderId="39" xfId="0" applyNumberFormat="1" applyFont="1" applyFill="1" applyBorder="1" applyAlignment="1">
      <alignment horizontal="center" vertical="center"/>
    </xf>
    <xf numFmtId="0" fontId="47" fillId="0" borderId="0" xfId="0" applyFont="1" applyAlignment="1" applyProtection="1">
      <alignment vertical="center" wrapText="1"/>
    </xf>
    <xf numFmtId="0" fontId="1" fillId="35" borderId="11" xfId="0" applyFont="1" applyFill="1" applyBorder="1" applyAlignment="1" applyProtection="1"/>
    <xf numFmtId="1" fontId="1" fillId="2" borderId="6" xfId="0" applyNumberFormat="1" applyFont="1" applyFill="1" applyBorder="1" applyAlignment="1" applyProtection="1">
      <alignment horizontal="center" vertical="center"/>
    </xf>
    <xf numFmtId="0" fontId="1" fillId="0" borderId="6" xfId="0" applyFont="1" applyBorder="1" applyAlignment="1" applyProtection="1">
      <alignment horizontal="left" vertical="center"/>
    </xf>
    <xf numFmtId="0" fontId="1" fillId="0" borderId="51" xfId="0" applyFont="1" applyBorder="1" applyAlignment="1" applyProtection="1">
      <alignment horizontal="left" vertical="center"/>
    </xf>
    <xf numFmtId="0" fontId="57" fillId="0" borderId="53" xfId="0" applyFont="1" applyBorder="1" applyAlignment="1" applyProtection="1">
      <alignment horizontal="center" vertical="center"/>
    </xf>
    <xf numFmtId="0" fontId="57" fillId="5" borderId="51" xfId="0" applyFont="1" applyFill="1" applyBorder="1" applyAlignment="1" applyProtection="1">
      <alignment horizontal="center" vertical="center"/>
    </xf>
    <xf numFmtId="1" fontId="57" fillId="4" borderId="53" xfId="0" applyNumberFormat="1" applyFont="1" applyFill="1" applyBorder="1" applyAlignment="1" applyProtection="1">
      <alignment horizontal="center" vertical="center"/>
      <protection locked="0"/>
    </xf>
    <xf numFmtId="0" fontId="1" fillId="0" borderId="41" xfId="0" applyFont="1" applyBorder="1" applyAlignment="1" applyProtection="1">
      <alignment horizontal="left" vertical="center"/>
    </xf>
    <xf numFmtId="0" fontId="1" fillId="0" borderId="51" xfId="0" applyFont="1" applyBorder="1" applyAlignment="1" applyProtection="1">
      <alignment vertical="center"/>
    </xf>
    <xf numFmtId="0" fontId="41" fillId="2" borderId="0" xfId="0" applyFont="1" applyFill="1" applyBorder="1" applyAlignment="1" applyProtection="1">
      <alignment horizontal="left" vertical="center" wrapText="1"/>
    </xf>
    <xf numFmtId="10" fontId="1" fillId="2" borderId="0" xfId="1650" applyNumberFormat="1" applyFont="1" applyFill="1" applyBorder="1" applyAlignment="1" applyProtection="1">
      <alignment horizontal="center" vertical="center"/>
    </xf>
    <xf numFmtId="171" fontId="1" fillId="0" borderId="6" xfId="0" applyNumberFormat="1" applyFont="1" applyBorder="1" applyAlignment="1" applyProtection="1">
      <alignment horizontal="left" vertical="center"/>
    </xf>
    <xf numFmtId="0" fontId="41" fillId="2" borderId="51" xfId="0" applyFont="1" applyFill="1" applyBorder="1" applyAlignment="1" applyProtection="1">
      <alignment vertical="center" wrapText="1"/>
    </xf>
    <xf numFmtId="0" fontId="41" fillId="2" borderId="51" xfId="0" applyFont="1" applyFill="1" applyBorder="1" applyAlignment="1" applyProtection="1">
      <alignment vertical="center"/>
    </xf>
    <xf numFmtId="0" fontId="1" fillId="2" borderId="0" xfId="0" applyFont="1" applyFill="1" applyBorder="1" applyAlignment="1" applyProtection="1">
      <alignment horizontal="center" vertical="center"/>
    </xf>
    <xf numFmtId="0" fontId="1" fillId="5" borderId="39" xfId="0" applyFont="1" applyFill="1" applyBorder="1" applyAlignment="1">
      <alignment horizontal="left" vertical="center"/>
    </xf>
    <xf numFmtId="0" fontId="1" fillId="0" borderId="41" xfId="0" applyFont="1" applyBorder="1" applyAlignment="1" applyProtection="1">
      <alignment vertical="center"/>
    </xf>
    <xf numFmtId="0" fontId="1" fillId="0" borderId="42" xfId="0" applyFont="1" applyBorder="1" applyAlignment="1" applyProtection="1">
      <alignment vertical="center"/>
    </xf>
    <xf numFmtId="0" fontId="57" fillId="5" borderId="41" xfId="0" applyFont="1" applyFill="1" applyBorder="1" applyAlignment="1" applyProtection="1">
      <alignment horizontal="center" vertical="center"/>
    </xf>
    <xf numFmtId="0" fontId="57" fillId="0" borderId="41" xfId="0" applyFont="1" applyBorder="1" applyAlignment="1" applyProtection="1">
      <alignment horizontal="center" vertical="center"/>
    </xf>
    <xf numFmtId="0" fontId="57" fillId="5" borderId="42" xfId="0" applyFont="1" applyFill="1" applyBorder="1" applyAlignment="1" applyProtection="1">
      <alignment horizontal="center" vertical="center"/>
    </xf>
    <xf numFmtId="0" fontId="48" fillId="0" borderId="0" xfId="0" applyFont="1" applyAlignment="1" applyProtection="1">
      <alignment horizontal="left" vertical="center"/>
    </xf>
    <xf numFmtId="171" fontId="1" fillId="2" borderId="0" xfId="0" applyNumberFormat="1" applyFont="1" applyFill="1" applyBorder="1" applyAlignment="1" applyProtection="1">
      <alignment horizontal="center" vertical="center"/>
    </xf>
    <xf numFmtId="0" fontId="58" fillId="0" borderId="0" xfId="0" applyFont="1" applyAlignment="1" applyProtection="1">
      <alignment horizontal="center" vertical="center"/>
    </xf>
    <xf numFmtId="0" fontId="0" fillId="0" borderId="0" xfId="0" applyAlignment="1" applyProtection="1">
      <alignment horizontal="left" indent="1"/>
    </xf>
    <xf numFmtId="0" fontId="2" fillId="0" borderId="0" xfId="0" applyFont="1" applyProtection="1"/>
    <xf numFmtId="0" fontId="0" fillId="34" borderId="0" xfId="0" applyFill="1"/>
    <xf numFmtId="0" fontId="2" fillId="0" borderId="41" xfId="0" applyFont="1" applyBorder="1" applyAlignment="1" applyProtection="1">
      <alignment horizontal="center" vertical="center"/>
    </xf>
    <xf numFmtId="0" fontId="0" fillId="40" borderId="0" xfId="0" applyFill="1"/>
    <xf numFmtId="0" fontId="0" fillId="41" borderId="0" xfId="0" applyFill="1"/>
    <xf numFmtId="0" fontId="0" fillId="42" borderId="0" xfId="0" applyFill="1"/>
    <xf numFmtId="0" fontId="0" fillId="43" borderId="0" xfId="0" applyFill="1"/>
    <xf numFmtId="44" fontId="0" fillId="0" borderId="0" xfId="1649" applyNumberFormat="1" applyFont="1"/>
    <xf numFmtId="1" fontId="0" fillId="0" borderId="0" xfId="0" applyNumberFormat="1"/>
    <xf numFmtId="171" fontId="1" fillId="4" borderId="39" xfId="0" applyNumberFormat="1" applyFont="1" applyFill="1" applyBorder="1" applyAlignment="1" applyProtection="1">
      <alignment horizontal="center" vertical="center"/>
      <protection locked="0"/>
    </xf>
    <xf numFmtId="0" fontId="1" fillId="2" borderId="41" xfId="0" applyFont="1" applyFill="1" applyBorder="1" applyAlignment="1" applyProtection="1">
      <alignment horizontal="left" vertical="center"/>
    </xf>
    <xf numFmtId="171" fontId="1" fillId="4" borderId="40" xfId="0" applyNumberFormat="1" applyFont="1" applyFill="1" applyBorder="1" applyAlignment="1" applyProtection="1">
      <alignment horizontal="center" vertical="center"/>
      <protection locked="0"/>
    </xf>
    <xf numFmtId="171" fontId="1" fillId="2" borderId="40" xfId="0" applyNumberFormat="1" applyFont="1" applyFill="1" applyBorder="1" applyAlignment="1" applyProtection="1">
      <alignment horizontal="center" vertical="center"/>
    </xf>
    <xf numFmtId="0" fontId="57" fillId="2" borderId="0" xfId="0" applyFont="1" applyFill="1" applyBorder="1" applyAlignment="1" applyProtection="1">
      <alignment horizontal="center" vertical="center"/>
    </xf>
    <xf numFmtId="1" fontId="57" fillId="2" borderId="0" xfId="0" applyNumberFormat="1" applyFont="1" applyFill="1" applyBorder="1" applyAlignment="1" applyProtection="1">
      <alignment horizontal="center" vertical="center"/>
    </xf>
    <xf numFmtId="2" fontId="1" fillId="2" borderId="39" xfId="0" applyNumberFormat="1" applyFont="1" applyFill="1" applyBorder="1" applyAlignment="1" applyProtection="1">
      <alignment horizontal="center" vertical="center"/>
    </xf>
    <xf numFmtId="164" fontId="1" fillId="2" borderId="41" xfId="0" applyNumberFormat="1" applyFont="1" applyFill="1" applyBorder="1" applyAlignment="1" applyProtection="1">
      <alignment horizontal="center" vertical="center"/>
    </xf>
    <xf numFmtId="0" fontId="1" fillId="37" borderId="1" xfId="0" applyFont="1" applyFill="1" applyBorder="1" applyAlignment="1" applyProtection="1">
      <alignment horizontal="center" vertical="center"/>
    </xf>
    <xf numFmtId="0" fontId="1" fillId="38" borderId="8" xfId="0" applyFont="1" applyFill="1" applyBorder="1" applyAlignment="1" applyProtection="1">
      <alignment horizontal="center" vertical="center"/>
    </xf>
    <xf numFmtId="44" fontId="0" fillId="0" borderId="0" xfId="1649" applyFont="1"/>
    <xf numFmtId="0" fontId="48" fillId="0" borderId="0" xfId="0" applyFont="1" applyAlignment="1" applyProtection="1">
      <alignment horizontal="left" vertical="center" wrapText="1"/>
    </xf>
    <xf numFmtId="0" fontId="2" fillId="4" borderId="47" xfId="0" applyFont="1" applyFill="1" applyBorder="1" applyAlignment="1" applyProtection="1">
      <alignment horizontal="center" vertical="center"/>
      <protection locked="0"/>
    </xf>
    <xf numFmtId="0" fontId="41" fillId="2" borderId="41" xfId="0" applyFont="1" applyFill="1" applyBorder="1" applyAlignment="1" applyProtection="1">
      <alignment horizontal="center" vertical="center"/>
    </xf>
    <xf numFmtId="0" fontId="41" fillId="2" borderId="42" xfId="0" applyFont="1" applyFill="1" applyBorder="1" applyAlignment="1" applyProtection="1">
      <alignment horizontal="center" vertical="center"/>
    </xf>
    <xf numFmtId="0" fontId="43" fillId="0" borderId="0" xfId="0" applyFont="1" applyProtection="1"/>
    <xf numFmtId="171" fontId="1" fillId="2" borderId="39" xfId="0" applyNumberFormat="1" applyFont="1" applyFill="1" applyBorder="1" applyAlignment="1" applyProtection="1">
      <alignment horizontal="left" vertical="center"/>
    </xf>
    <xf numFmtId="0" fontId="1" fillId="4" borderId="39" xfId="0" applyFont="1" applyFill="1" applyBorder="1" applyAlignment="1" applyProtection="1">
      <alignment horizontal="center" vertical="center"/>
      <protection locked="0"/>
    </xf>
    <xf numFmtId="0" fontId="1" fillId="4" borderId="40" xfId="0" applyFont="1" applyFill="1" applyBorder="1" applyAlignment="1" applyProtection="1">
      <alignment horizontal="center" vertical="center"/>
      <protection locked="0"/>
    </xf>
    <xf numFmtId="0" fontId="1" fillId="4" borderId="39" xfId="0" applyFont="1" applyFill="1" applyBorder="1" applyAlignment="1" applyProtection="1">
      <alignment horizontal="center" vertical="center"/>
      <protection locked="0"/>
    </xf>
    <xf numFmtId="49" fontId="1" fillId="4" borderId="43" xfId="0" applyNumberFormat="1" applyFont="1" applyFill="1" applyBorder="1" applyAlignment="1" applyProtection="1">
      <alignment horizontal="center" vertical="center"/>
      <protection locked="0"/>
    </xf>
    <xf numFmtId="49" fontId="1" fillId="4" borderId="44" xfId="0" applyNumberFormat="1" applyFont="1" applyFill="1" applyBorder="1" applyAlignment="1" applyProtection="1">
      <alignment horizontal="center" vertical="center"/>
      <protection locked="0"/>
    </xf>
    <xf numFmtId="0" fontId="55" fillId="5" borderId="39" xfId="0" applyFont="1" applyFill="1" applyBorder="1" applyAlignment="1" applyProtection="1">
      <alignment horizontal="center" vertical="center"/>
    </xf>
    <xf numFmtId="0" fontId="1" fillId="5" borderId="39" xfId="0" applyFont="1" applyFill="1" applyBorder="1" applyAlignment="1" applyProtection="1">
      <alignment horizontal="center" vertical="center"/>
    </xf>
    <xf numFmtId="0" fontId="2" fillId="0" borderId="0" xfId="0" applyNumberFormat="1" applyFont="1" applyProtection="1"/>
    <xf numFmtId="0" fontId="2" fillId="2" borderId="0" xfId="0" applyNumberFormat="1" applyFont="1" applyFill="1" applyBorder="1" applyAlignment="1" applyProtection="1">
      <alignment horizontal="left" vertical="center"/>
    </xf>
    <xf numFmtId="0" fontId="63" fillId="2" borderId="0" xfId="0" applyNumberFormat="1" applyFont="1" applyFill="1" applyBorder="1" applyAlignment="1" applyProtection="1">
      <alignment horizontal="left" vertical="center"/>
    </xf>
    <xf numFmtId="0" fontId="2" fillId="0" borderId="0" xfId="0" applyNumberFormat="1" applyFont="1" applyAlignment="1" applyProtection="1">
      <alignment horizontal="left" vertical="center"/>
    </xf>
    <xf numFmtId="0" fontId="55" fillId="5" borderId="41" xfId="0" applyFont="1" applyFill="1" applyBorder="1" applyAlignment="1" applyProtection="1">
      <alignment horizontal="center" vertical="center"/>
    </xf>
    <xf numFmtId="0" fontId="55" fillId="5" borderId="40" xfId="0" applyFont="1" applyFill="1" applyBorder="1" applyAlignment="1" applyProtection="1">
      <alignment horizontal="center" vertical="center"/>
    </xf>
    <xf numFmtId="1" fontId="1" fillId="2" borderId="41" xfId="0" applyNumberFormat="1" applyFont="1" applyFill="1" applyBorder="1" applyAlignment="1" applyProtection="1">
      <alignment horizontal="center" vertical="center"/>
    </xf>
    <xf numFmtId="0" fontId="2" fillId="2" borderId="59" xfId="0" applyFont="1" applyFill="1" applyBorder="1" applyAlignment="1" applyProtection="1">
      <alignment horizontal="center" vertical="center"/>
    </xf>
    <xf numFmtId="0" fontId="1" fillId="5" borderId="41" xfId="0" applyFont="1" applyFill="1" applyBorder="1" applyAlignment="1" applyProtection="1">
      <alignment horizontal="left" vertical="center"/>
    </xf>
    <xf numFmtId="0" fontId="1" fillId="5" borderId="40" xfId="0" applyFont="1" applyFill="1" applyBorder="1" applyAlignment="1" applyProtection="1">
      <alignment horizontal="center" vertical="center"/>
    </xf>
    <xf numFmtId="0" fontId="60" fillId="5" borderId="42" xfId="0" applyFont="1" applyFill="1" applyBorder="1" applyAlignment="1" applyProtection="1">
      <alignment horizontal="center" vertical="center" wrapText="1"/>
    </xf>
    <xf numFmtId="0" fontId="60" fillId="5" borderId="43" xfId="0" applyFont="1" applyFill="1" applyBorder="1" applyAlignment="1" applyProtection="1">
      <alignment vertical="center" wrapText="1"/>
    </xf>
    <xf numFmtId="0" fontId="60" fillId="5" borderId="43" xfId="0" applyFont="1" applyFill="1" applyBorder="1" applyAlignment="1" applyProtection="1">
      <alignment horizontal="center" vertical="center" wrapText="1"/>
    </xf>
    <xf numFmtId="0" fontId="1" fillId="35"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171" fontId="41" fillId="2" borderId="0" xfId="0" applyNumberFormat="1" applyFont="1" applyFill="1" applyBorder="1" applyAlignment="1" applyProtection="1">
      <alignment horizontal="center" vertical="center"/>
    </xf>
    <xf numFmtId="0" fontId="41" fillId="0" borderId="0" xfId="0" applyFont="1" applyAlignment="1" applyProtection="1">
      <alignment horizontal="left" vertical="center"/>
    </xf>
    <xf numFmtId="0" fontId="41" fillId="2" borderId="0" xfId="0" applyFont="1" applyFill="1" applyBorder="1" applyAlignment="1" applyProtection="1">
      <alignment horizontal="center" vertical="center"/>
    </xf>
    <xf numFmtId="9" fontId="2" fillId="0" borderId="0" xfId="1650" applyFont="1"/>
    <xf numFmtId="0" fontId="41" fillId="2" borderId="0" xfId="0" applyFont="1" applyFill="1" applyBorder="1" applyAlignment="1" applyProtection="1">
      <alignment horizontal="left" vertical="center"/>
    </xf>
    <xf numFmtId="10" fontId="41" fillId="2" borderId="0" xfId="1650" applyNumberFormat="1" applyFont="1" applyFill="1" applyBorder="1" applyAlignment="1" applyProtection="1">
      <alignment horizontal="center" vertical="center"/>
    </xf>
    <xf numFmtId="0" fontId="2" fillId="0" borderId="0" xfId="0" applyFont="1" applyAlignment="1" applyProtection="1"/>
    <xf numFmtId="0" fontId="64" fillId="0" borderId="0" xfId="0" applyFont="1" applyAlignment="1">
      <alignment vertical="center"/>
    </xf>
    <xf numFmtId="0" fontId="2" fillId="0" borderId="0" xfId="0" applyFont="1" applyBorder="1" applyAlignment="1" applyProtection="1">
      <alignment vertical="center"/>
    </xf>
    <xf numFmtId="9" fontId="1" fillId="5" borderId="0" xfId="1650" applyNumberFormat="1" applyFont="1" applyFill="1" applyBorder="1"/>
    <xf numFmtId="0" fontId="62" fillId="0" borderId="41" xfId="0" applyFont="1" applyBorder="1" applyAlignment="1" applyProtection="1">
      <alignment horizontal="center" vertical="center"/>
    </xf>
    <xf numFmtId="0" fontId="1" fillId="0" borderId="0" xfId="0" applyFont="1" applyAlignment="1" applyProtection="1">
      <alignment horizontal="center" vertical="center"/>
    </xf>
    <xf numFmtId="0" fontId="41" fillId="4" borderId="38" xfId="0" applyFont="1" applyFill="1" applyBorder="1" applyAlignment="1" applyProtection="1">
      <alignment horizontal="center" vertical="center"/>
    </xf>
    <xf numFmtId="0" fontId="41" fillId="4" borderId="39" xfId="0" applyFont="1" applyFill="1" applyBorder="1" applyAlignment="1" applyProtection="1">
      <alignment horizontal="center" vertical="center"/>
    </xf>
    <xf numFmtId="1" fontId="43" fillId="0" borderId="0" xfId="0" applyNumberFormat="1" applyFont="1" applyAlignment="1" applyProtection="1">
      <alignment horizontal="center" vertical="center"/>
    </xf>
    <xf numFmtId="164" fontId="43" fillId="0" borderId="0" xfId="0" applyNumberFormat="1" applyFont="1" applyAlignment="1" applyProtection="1">
      <alignment horizontal="center" vertical="center"/>
    </xf>
    <xf numFmtId="174" fontId="43" fillId="0" borderId="0" xfId="1650" applyNumberFormat="1" applyFont="1" applyBorder="1" applyAlignment="1" applyProtection="1">
      <alignment horizontal="left" vertical="center"/>
    </xf>
    <xf numFmtId="0" fontId="41" fillId="4" borderId="40" xfId="0" applyFont="1" applyFill="1" applyBorder="1" applyAlignment="1" applyProtection="1">
      <alignment horizontal="center" vertical="center"/>
      <protection locked="0"/>
    </xf>
    <xf numFmtId="0" fontId="2" fillId="0" borderId="0" xfId="0" applyFont="1" applyFill="1"/>
    <xf numFmtId="9" fontId="2" fillId="0" borderId="41" xfId="0" applyNumberFormat="1"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175" fontId="2" fillId="4" borderId="40" xfId="0" applyNumberFormat="1" applyFont="1" applyFill="1" applyBorder="1" applyAlignment="1" applyProtection="1">
      <alignment horizontal="center" vertical="center"/>
      <protection locked="0"/>
    </xf>
    <xf numFmtId="173" fontId="2" fillId="4" borderId="40" xfId="0" applyNumberFormat="1" applyFont="1" applyFill="1" applyBorder="1" applyAlignment="1" applyProtection="1">
      <alignment horizontal="center" vertical="center" wrapText="1"/>
      <protection locked="0"/>
    </xf>
    <xf numFmtId="0" fontId="0" fillId="0" borderId="42" xfId="0" applyBorder="1" applyAlignment="1" applyProtection="1">
      <alignment horizontal="center" vertical="center" wrapText="1"/>
    </xf>
    <xf numFmtId="0" fontId="0" fillId="2" borderId="41" xfId="0" applyFill="1" applyBorder="1" applyAlignment="1" applyProtection="1">
      <alignment horizontal="center"/>
    </xf>
    <xf numFmtId="173" fontId="2" fillId="4" borderId="44" xfId="0" applyNumberFormat="1" applyFont="1" applyFill="1" applyBorder="1" applyAlignment="1" applyProtection="1">
      <alignment horizontal="center" vertical="center" wrapText="1"/>
      <protection locked="0"/>
    </xf>
    <xf numFmtId="0" fontId="66" fillId="0" borderId="41" xfId="0" applyFont="1" applyBorder="1" applyAlignment="1" applyProtection="1">
      <alignment horizontal="center" vertical="center" wrapText="1"/>
    </xf>
    <xf numFmtId="1" fontId="41" fillId="4" borderId="40" xfId="0" applyNumberFormat="1" applyFont="1" applyFill="1" applyBorder="1" applyAlignment="1" applyProtection="1">
      <alignment horizontal="center" vertical="center"/>
      <protection locked="0"/>
    </xf>
    <xf numFmtId="0" fontId="67" fillId="5" borderId="1" xfId="0" applyFont="1" applyFill="1" applyBorder="1" applyAlignment="1" applyProtection="1">
      <alignment horizontal="center" vertical="center"/>
    </xf>
    <xf numFmtId="0" fontId="67" fillId="5" borderId="2" xfId="0" applyFont="1" applyFill="1" applyBorder="1" applyAlignment="1" applyProtection="1">
      <alignment horizontal="center" vertical="center"/>
    </xf>
    <xf numFmtId="1" fontId="68" fillId="5" borderId="4" xfId="0" applyNumberFormat="1" applyFont="1" applyFill="1" applyBorder="1" applyAlignment="1" applyProtection="1">
      <alignment horizontal="center" vertical="center"/>
    </xf>
    <xf numFmtId="1" fontId="67" fillId="5" borderId="0" xfId="0" applyNumberFormat="1" applyFont="1" applyFill="1" applyBorder="1" applyAlignment="1" applyProtection="1">
      <alignment horizontal="center" vertical="center"/>
    </xf>
    <xf numFmtId="0" fontId="67" fillId="5" borderId="4" xfId="0" applyNumberFormat="1" applyFont="1" applyFill="1" applyBorder="1" applyAlignment="1" applyProtection="1">
      <alignment horizontal="center" vertical="center"/>
    </xf>
    <xf numFmtId="0" fontId="67" fillId="5" borderId="0" xfId="0" applyFont="1" applyFill="1" applyBorder="1" applyAlignment="1" applyProtection="1">
      <alignment horizontal="center" vertical="center"/>
    </xf>
    <xf numFmtId="0" fontId="68" fillId="5" borderId="4" xfId="0" applyNumberFormat="1" applyFont="1" applyFill="1" applyBorder="1" applyAlignment="1" applyProtection="1">
      <alignment horizontal="center" vertical="center"/>
    </xf>
    <xf numFmtId="0" fontId="67" fillId="5" borderId="0" xfId="0" applyFont="1" applyFill="1" applyBorder="1" applyProtection="1"/>
    <xf numFmtId="0" fontId="67" fillId="5" borderId="11" xfId="0" applyFont="1" applyFill="1" applyBorder="1" applyAlignment="1" applyProtection="1">
      <alignment horizontal="center" vertical="center"/>
    </xf>
    <xf numFmtId="0" fontId="67" fillId="5" borderId="2" xfId="0" applyNumberFormat="1" applyFont="1" applyFill="1" applyBorder="1" applyAlignment="1" applyProtection="1">
      <alignment horizontal="center" vertical="center"/>
    </xf>
    <xf numFmtId="0" fontId="67" fillId="5" borderId="0" xfId="0" applyNumberFormat="1" applyFont="1" applyFill="1" applyBorder="1" applyAlignment="1" applyProtection="1">
      <alignment horizontal="center" vertical="center"/>
    </xf>
    <xf numFmtId="0" fontId="67" fillId="5" borderId="87" xfId="0" applyFont="1" applyFill="1" applyBorder="1" applyAlignment="1" applyProtection="1">
      <alignment horizontal="center" vertical="center"/>
    </xf>
    <xf numFmtId="0" fontId="67" fillId="5" borderId="0" xfId="0" applyFont="1" applyFill="1" applyProtection="1"/>
    <xf numFmtId="1" fontId="2" fillId="0" borderId="0" xfId="0" applyNumberFormat="1" applyFont="1"/>
    <xf numFmtId="1" fontId="2" fillId="0" borderId="0" xfId="0" applyNumberFormat="1" applyFont="1" applyAlignment="1" applyProtection="1">
      <alignment horizontal="left" vertical="center"/>
    </xf>
    <xf numFmtId="1" fontId="43" fillId="0" borderId="0" xfId="0" applyNumberFormat="1" applyFont="1" applyAlignment="1">
      <alignment horizontal="left" vertical="center"/>
    </xf>
    <xf numFmtId="0" fontId="41" fillId="2" borderId="84" xfId="0" applyFont="1" applyFill="1" applyBorder="1" applyAlignment="1" applyProtection="1">
      <alignment vertical="center" wrapText="1"/>
    </xf>
    <xf numFmtId="0" fontId="41" fillId="2" borderId="41" xfId="0" applyFont="1" applyFill="1" applyBorder="1" applyAlignment="1" applyProtection="1">
      <alignment vertical="center" wrapText="1"/>
    </xf>
    <xf numFmtId="0" fontId="46" fillId="0" borderId="0" xfId="0" applyFont="1" applyBorder="1" applyAlignment="1" applyProtection="1">
      <alignment horizontal="left" vertical="top" wrapText="1"/>
    </xf>
    <xf numFmtId="0" fontId="0" fillId="0" borderId="0" xfId="0" applyFont="1" applyFill="1" applyBorder="1" applyAlignment="1" applyProtection="1"/>
    <xf numFmtId="0" fontId="41" fillId="0" borderId="0" xfId="0" applyFont="1" applyFill="1" applyBorder="1" applyAlignment="1" applyProtection="1">
      <alignment vertical="center" wrapText="1"/>
    </xf>
    <xf numFmtId="0" fontId="47" fillId="0" borderId="0" xfId="0" applyFont="1" applyFill="1" applyBorder="1" applyAlignment="1" applyProtection="1">
      <alignment vertical="center" wrapText="1"/>
    </xf>
    <xf numFmtId="0" fontId="0" fillId="0" borderId="0" xfId="0" applyFill="1" applyBorder="1" applyProtection="1"/>
    <xf numFmtId="0" fontId="0" fillId="0" borderId="0" xfId="0" applyFill="1" applyBorder="1" applyProtection="1">
      <protection hidden="1"/>
    </xf>
    <xf numFmtId="0" fontId="41" fillId="5" borderId="8" xfId="0" applyFont="1" applyFill="1" applyBorder="1" applyAlignment="1" applyProtection="1">
      <alignment horizontal="center" vertical="center" wrapText="1"/>
    </xf>
    <xf numFmtId="0" fontId="57" fillId="4" borderId="38" xfId="0" applyFont="1" applyFill="1" applyBorder="1" applyAlignment="1" applyProtection="1">
      <alignment horizontal="center" vertical="center"/>
      <protection locked="0"/>
    </xf>
    <xf numFmtId="9" fontId="2" fillId="0" borderId="95" xfId="0" applyNumberFormat="1" applyFont="1" applyBorder="1" applyAlignment="1" applyProtection="1">
      <alignment horizontal="center" vertical="center" wrapText="1"/>
    </xf>
    <xf numFmtId="173" fontId="2" fillId="4" borderId="96" xfId="0" applyNumberFormat="1" applyFont="1" applyFill="1" applyBorder="1" applyAlignment="1" applyProtection="1">
      <alignment horizontal="center" vertical="center" wrapText="1"/>
      <protection locked="0"/>
    </xf>
    <xf numFmtId="0" fontId="57" fillId="4" borderId="83" xfId="0" applyFont="1" applyFill="1" applyBorder="1" applyAlignment="1" applyProtection="1">
      <alignment horizontal="center" vertical="center"/>
      <protection locked="0"/>
    </xf>
    <xf numFmtId="0" fontId="60" fillId="0" borderId="6" xfId="0" applyFont="1" applyFill="1" applyBorder="1" applyAlignment="1" applyProtection="1">
      <alignment vertical="center" wrapText="1"/>
    </xf>
    <xf numFmtId="0" fontId="54" fillId="36" borderId="88" xfId="0" applyNumberFormat="1" applyFont="1" applyFill="1" applyBorder="1" applyAlignment="1" applyProtection="1">
      <alignment horizontal="center" vertical="top" wrapText="1"/>
    </xf>
    <xf numFmtId="0" fontId="54" fillId="36" borderId="89" xfId="0" applyNumberFormat="1" applyFont="1" applyFill="1" applyBorder="1" applyAlignment="1" applyProtection="1">
      <alignment horizontal="center" vertical="top" wrapText="1"/>
    </xf>
    <xf numFmtId="0" fontId="54" fillId="36" borderId="90" xfId="0" applyNumberFormat="1" applyFont="1" applyFill="1" applyBorder="1" applyAlignment="1" applyProtection="1">
      <alignment horizontal="center" vertical="top" wrapText="1"/>
    </xf>
    <xf numFmtId="0" fontId="54" fillId="36" borderId="8" xfId="0" applyNumberFormat="1" applyFont="1" applyFill="1" applyBorder="1" applyAlignment="1" applyProtection="1">
      <alignment horizontal="center" vertical="top" wrapText="1"/>
    </xf>
    <xf numFmtId="0" fontId="54" fillId="36" borderId="14" xfId="0" applyNumberFormat="1" applyFont="1" applyFill="1" applyBorder="1" applyAlignment="1" applyProtection="1">
      <alignment horizontal="center" vertical="top" wrapText="1"/>
    </xf>
    <xf numFmtId="0" fontId="60" fillId="5" borderId="58" xfId="0" applyFont="1" applyFill="1" applyBorder="1" applyAlignment="1" applyProtection="1">
      <alignment horizontal="center" vertical="center" wrapText="1"/>
    </xf>
    <xf numFmtId="0" fontId="60" fillId="5" borderId="56" xfId="0" applyFont="1" applyFill="1" applyBorder="1" applyAlignment="1" applyProtection="1">
      <alignment horizontal="center" vertical="center" wrapText="1"/>
    </xf>
    <xf numFmtId="0" fontId="60" fillId="5" borderId="66" xfId="0" applyFont="1" applyFill="1" applyBorder="1" applyAlignment="1" applyProtection="1">
      <alignment horizontal="center" vertical="center" wrapText="1"/>
    </xf>
    <xf numFmtId="0" fontId="60" fillId="5" borderId="59" xfId="0" applyFont="1" applyFill="1" applyBorder="1" applyAlignment="1" applyProtection="1">
      <alignment horizontal="center" vertical="center" wrapText="1"/>
    </xf>
    <xf numFmtId="167" fontId="1" fillId="4" borderId="65" xfId="0" applyNumberFormat="1" applyFont="1" applyFill="1" applyBorder="1" applyAlignment="1" applyProtection="1">
      <alignment horizontal="center" vertical="center" wrapText="1"/>
      <protection locked="0"/>
    </xf>
    <xf numFmtId="167" fontId="1" fillId="4" borderId="79" xfId="0" applyNumberFormat="1" applyFont="1" applyFill="1" applyBorder="1" applyAlignment="1" applyProtection="1">
      <alignment horizontal="center" vertical="center" wrapText="1"/>
      <protection locked="0"/>
    </xf>
    <xf numFmtId="167" fontId="1" fillId="4" borderId="60" xfId="0" applyNumberFormat="1" applyFont="1" applyFill="1" applyBorder="1" applyAlignment="1" applyProtection="1">
      <alignment horizontal="center" vertical="center" wrapText="1"/>
      <protection locked="0"/>
    </xf>
    <xf numFmtId="172" fontId="1" fillId="4" borderId="65" xfId="0" applyNumberFormat="1" applyFont="1" applyFill="1" applyBorder="1" applyAlignment="1" applyProtection="1">
      <alignment horizontal="center" vertical="center" wrapText="1"/>
      <protection locked="0"/>
    </xf>
    <xf numFmtId="172" fontId="1" fillId="4" borderId="79" xfId="0" applyNumberFormat="1" applyFont="1" applyFill="1" applyBorder="1" applyAlignment="1" applyProtection="1">
      <alignment horizontal="center" vertical="center" wrapText="1"/>
      <protection locked="0"/>
    </xf>
    <xf numFmtId="172" fontId="1" fillId="4" borderId="60" xfId="0" applyNumberFormat="1" applyFont="1" applyFill="1" applyBorder="1" applyAlignment="1" applyProtection="1">
      <alignment horizontal="center" vertical="center" wrapText="1"/>
      <protection locked="0"/>
    </xf>
    <xf numFmtId="0" fontId="1" fillId="4" borderId="80" xfId="0" applyNumberFormat="1" applyFont="1" applyFill="1" applyBorder="1" applyAlignment="1" applyProtection="1">
      <alignment horizontal="center" vertical="center" wrapText="1"/>
      <protection locked="0"/>
    </xf>
    <xf numFmtId="0" fontId="1" fillId="4" borderId="81" xfId="0" applyNumberFormat="1" applyFont="1" applyFill="1" applyBorder="1" applyAlignment="1" applyProtection="1">
      <alignment horizontal="center" vertical="center"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8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85" xfId="0" applyBorder="1" applyAlignment="1" applyProtection="1">
      <alignment horizontal="left" vertical="top" wrapText="1"/>
      <protection locked="0"/>
    </xf>
    <xf numFmtId="0" fontId="0" fillId="0" borderId="87" xfId="0" applyBorder="1" applyAlignment="1" applyProtection="1">
      <alignment horizontal="left" vertical="top" wrapText="1"/>
      <protection locked="0"/>
    </xf>
    <xf numFmtId="0" fontId="1" fillId="0" borderId="11" xfId="0" applyFont="1" applyBorder="1" applyAlignment="1" applyProtection="1">
      <alignment horizontal="left" vertical="center"/>
    </xf>
    <xf numFmtId="0" fontId="1" fillId="0" borderId="87" xfId="0" applyFont="1" applyBorder="1" applyAlignment="1" applyProtection="1">
      <alignment horizontal="left" vertical="center"/>
    </xf>
    <xf numFmtId="0" fontId="41" fillId="4" borderId="65" xfId="0" applyNumberFormat="1" applyFont="1" applyFill="1" applyBorder="1" applyAlignment="1" applyProtection="1">
      <alignment horizontal="center" vertical="center" wrapText="1"/>
      <protection locked="0"/>
    </xf>
    <xf numFmtId="0" fontId="41" fillId="4" borderId="79" xfId="0" applyNumberFormat="1" applyFont="1" applyFill="1" applyBorder="1" applyAlignment="1" applyProtection="1">
      <alignment horizontal="center" vertical="center" wrapText="1"/>
      <protection locked="0"/>
    </xf>
    <xf numFmtId="0" fontId="1" fillId="4" borderId="82" xfId="0" applyNumberFormat="1" applyFont="1" applyFill="1" applyBorder="1" applyAlignment="1" applyProtection="1">
      <alignment horizontal="center" vertical="center" wrapText="1"/>
      <protection locked="0"/>
    </xf>
    <xf numFmtId="0" fontId="59" fillId="38" borderId="1" xfId="0" applyFont="1" applyFill="1" applyBorder="1" applyAlignment="1" applyProtection="1">
      <alignment horizontal="center" vertical="center" wrapText="1"/>
    </xf>
    <xf numFmtId="0" fontId="59" fillId="38" borderId="3" xfId="0" applyFont="1" applyFill="1" applyBorder="1" applyAlignment="1" applyProtection="1">
      <alignment horizontal="center" vertical="center" wrapText="1"/>
    </xf>
    <xf numFmtId="0" fontId="59" fillId="38" borderId="84" xfId="0" applyFont="1" applyFill="1" applyBorder="1" applyAlignment="1" applyProtection="1">
      <alignment horizontal="center" vertical="center" wrapText="1"/>
    </xf>
    <xf numFmtId="0" fontId="59" fillId="38" borderId="85" xfId="0" applyFont="1" applyFill="1" applyBorder="1" applyAlignment="1" applyProtection="1">
      <alignment horizontal="center" vertical="center" wrapText="1"/>
    </xf>
    <xf numFmtId="168" fontId="54" fillId="36" borderId="4" xfId="0" applyNumberFormat="1" applyFont="1" applyFill="1" applyBorder="1" applyAlignment="1" applyProtection="1">
      <alignment horizontal="center" vertical="center" wrapText="1"/>
    </xf>
    <xf numFmtId="168" fontId="54" fillId="36" borderId="5" xfId="0" applyNumberFormat="1" applyFont="1" applyFill="1" applyBorder="1" applyAlignment="1" applyProtection="1">
      <alignment horizontal="center" vertical="center" wrapText="1"/>
    </xf>
    <xf numFmtId="168" fontId="54" fillId="36" borderId="84" xfId="0" applyNumberFormat="1" applyFont="1" applyFill="1" applyBorder="1" applyAlignment="1" applyProtection="1">
      <alignment horizontal="center" vertical="center" wrapText="1"/>
    </xf>
    <xf numFmtId="168" fontId="54" fillId="36" borderId="85" xfId="0" applyNumberFormat="1" applyFont="1" applyFill="1" applyBorder="1" applyAlignment="1" applyProtection="1">
      <alignment horizontal="center" vertical="center" wrapText="1"/>
    </xf>
    <xf numFmtId="0" fontId="41" fillId="4" borderId="12" xfId="0" applyFont="1" applyFill="1" applyBorder="1" applyAlignment="1" applyProtection="1">
      <alignment horizontal="center" vertical="center"/>
      <protection locked="0"/>
    </xf>
    <xf numFmtId="0" fontId="41" fillId="4" borderId="10" xfId="0" applyFont="1" applyFill="1" applyBorder="1" applyAlignment="1" applyProtection="1">
      <alignment horizontal="center" vertical="center"/>
      <protection locked="0"/>
    </xf>
    <xf numFmtId="0" fontId="46" fillId="2" borderId="1" xfId="0" applyFont="1" applyFill="1" applyBorder="1" applyAlignment="1" applyProtection="1">
      <alignment horizontal="left" vertical="top" wrapText="1"/>
    </xf>
    <xf numFmtId="0" fontId="46" fillId="2" borderId="2" xfId="0" applyFont="1" applyFill="1" applyBorder="1" applyAlignment="1" applyProtection="1">
      <alignment horizontal="left" vertical="top" wrapText="1"/>
    </xf>
    <xf numFmtId="0" fontId="46" fillId="2" borderId="3" xfId="0" applyFont="1" applyFill="1" applyBorder="1" applyAlignment="1" applyProtection="1">
      <alignment horizontal="left" vertical="top" wrapText="1"/>
    </xf>
    <xf numFmtId="0" fontId="46" fillId="2" borderId="4" xfId="0" applyFont="1" applyFill="1" applyBorder="1" applyAlignment="1" applyProtection="1">
      <alignment horizontal="left" vertical="top" wrapText="1"/>
    </xf>
    <xf numFmtId="0" fontId="46" fillId="2" borderId="0" xfId="0" applyFont="1" applyFill="1" applyBorder="1" applyAlignment="1" applyProtection="1">
      <alignment horizontal="left" vertical="top" wrapText="1"/>
    </xf>
    <xf numFmtId="0" fontId="46" fillId="2" borderId="5" xfId="0" applyFont="1" applyFill="1" applyBorder="1" applyAlignment="1" applyProtection="1">
      <alignment horizontal="left" vertical="top" wrapText="1"/>
    </xf>
    <xf numFmtId="0" fontId="46" fillId="2" borderId="84" xfId="0" applyFont="1" applyFill="1" applyBorder="1" applyAlignment="1" applyProtection="1">
      <alignment horizontal="left" vertical="top" wrapText="1"/>
    </xf>
    <xf numFmtId="0" fontId="46" fillId="2" borderId="11" xfId="0" applyFont="1" applyFill="1" applyBorder="1" applyAlignment="1" applyProtection="1">
      <alignment horizontal="left" vertical="top" wrapText="1"/>
    </xf>
    <xf numFmtId="0" fontId="46" fillId="2" borderId="85" xfId="0" applyFont="1" applyFill="1" applyBorder="1" applyAlignment="1" applyProtection="1">
      <alignment horizontal="left" vertical="top" wrapText="1"/>
    </xf>
    <xf numFmtId="0" fontId="41" fillId="5" borderId="7" xfId="0" applyFont="1" applyFill="1" applyBorder="1" applyAlignment="1" applyProtection="1">
      <alignment horizontal="center" vertical="center" wrapText="1"/>
    </xf>
    <xf numFmtId="0" fontId="41" fillId="5" borderId="9" xfId="0" applyFont="1" applyFill="1" applyBorder="1" applyAlignment="1" applyProtection="1">
      <alignment horizontal="center" vertical="center" wrapText="1"/>
    </xf>
    <xf numFmtId="0" fontId="0" fillId="5" borderId="12" xfId="0" applyFill="1" applyBorder="1" applyAlignment="1" applyProtection="1">
      <alignment horizontal="center" vertical="center"/>
    </xf>
    <xf numFmtId="0" fontId="0" fillId="5" borderId="13" xfId="0" applyFill="1" applyBorder="1" applyAlignment="1" applyProtection="1">
      <alignment horizontal="center" vertical="center"/>
    </xf>
    <xf numFmtId="0" fontId="0" fillId="5" borderId="10" xfId="0" applyFill="1" applyBorder="1" applyAlignment="1" applyProtection="1">
      <alignment horizontal="center" vertical="center"/>
    </xf>
    <xf numFmtId="0" fontId="41" fillId="4" borderId="64" xfId="0" applyFont="1" applyFill="1" applyBorder="1" applyAlignment="1" applyProtection="1">
      <alignment horizontal="center" vertical="center" wrapText="1"/>
      <protection locked="0"/>
    </xf>
    <xf numFmtId="0" fontId="41" fillId="4" borderId="78" xfId="0" applyFont="1" applyFill="1" applyBorder="1" applyAlignment="1" applyProtection="1">
      <alignment horizontal="center" vertical="center" wrapText="1"/>
      <protection locked="0"/>
    </xf>
    <xf numFmtId="0" fontId="1" fillId="4" borderId="65" xfId="0" applyNumberFormat="1" applyFont="1" applyFill="1" applyBorder="1" applyAlignment="1" applyProtection="1">
      <alignment horizontal="center" vertical="center" wrapText="1"/>
      <protection locked="0"/>
    </xf>
    <xf numFmtId="0" fontId="1" fillId="4" borderId="79" xfId="0" applyNumberFormat="1" applyFont="1" applyFill="1" applyBorder="1" applyAlignment="1" applyProtection="1">
      <alignment horizontal="center" vertical="center" wrapText="1"/>
      <protection locked="0"/>
    </xf>
    <xf numFmtId="0" fontId="57" fillId="5" borderId="48" xfId="0" applyFont="1" applyFill="1" applyBorder="1" applyAlignment="1" applyProtection="1">
      <alignment horizontal="left" vertical="center"/>
    </xf>
    <xf numFmtId="0" fontId="57" fillId="5" borderId="49" xfId="0" applyFont="1" applyFill="1" applyBorder="1" applyAlignment="1" applyProtection="1">
      <alignment horizontal="left" vertical="center"/>
    </xf>
    <xf numFmtId="0" fontId="57" fillId="5" borderId="50" xfId="0" applyFont="1" applyFill="1" applyBorder="1" applyAlignment="1" applyProtection="1">
      <alignment horizontal="left" vertical="center"/>
    </xf>
    <xf numFmtId="0" fontId="1" fillId="4" borderId="47" xfId="0" applyFont="1" applyFill="1" applyBorder="1" applyAlignment="1" applyProtection="1">
      <alignment horizontal="center" vertical="center"/>
      <protection locked="0"/>
    </xf>
    <xf numFmtId="0" fontId="1" fillId="4" borderId="52" xfId="0" applyFont="1" applyFill="1" applyBorder="1" applyAlignment="1" applyProtection="1">
      <alignment horizontal="center" vertical="center"/>
      <protection locked="0"/>
    </xf>
    <xf numFmtId="10" fontId="1" fillId="2" borderId="47" xfId="1650" applyNumberFormat="1" applyFont="1" applyFill="1" applyBorder="1" applyAlignment="1" applyProtection="1">
      <alignment horizontal="center" vertical="center"/>
    </xf>
    <xf numFmtId="10" fontId="1" fillId="2" borderId="52" xfId="1650" applyNumberFormat="1" applyFont="1" applyFill="1" applyBorder="1" applyAlignment="1" applyProtection="1">
      <alignment horizontal="center" vertical="center"/>
    </xf>
    <xf numFmtId="10" fontId="1" fillId="2" borderId="39" xfId="1650" applyNumberFormat="1" applyFont="1" applyFill="1" applyBorder="1" applyAlignment="1" applyProtection="1">
      <alignment horizontal="center" vertical="center"/>
    </xf>
    <xf numFmtId="10" fontId="1" fillId="2" borderId="40" xfId="1650" applyNumberFormat="1" applyFont="1" applyFill="1" applyBorder="1" applyAlignment="1" applyProtection="1">
      <alignment horizontal="center" vertical="center"/>
    </xf>
    <xf numFmtId="0" fontId="41" fillId="5" borderId="48" xfId="0" applyFont="1" applyFill="1" applyBorder="1" applyAlignment="1" applyProtection="1">
      <alignment horizontal="left" vertical="center" wrapText="1"/>
    </xf>
    <xf numFmtId="0" fontId="41" fillId="5" borderId="49" xfId="0" applyFont="1" applyFill="1" applyBorder="1" applyAlignment="1" applyProtection="1">
      <alignment horizontal="left" vertical="center" wrapText="1"/>
    </xf>
    <xf numFmtId="0" fontId="41" fillId="5" borderId="50" xfId="0" applyFont="1" applyFill="1" applyBorder="1" applyAlignment="1" applyProtection="1">
      <alignment horizontal="left" vertical="center" wrapText="1"/>
    </xf>
    <xf numFmtId="0" fontId="41" fillId="5" borderId="48" xfId="0" applyFont="1" applyFill="1" applyBorder="1" applyAlignment="1" applyProtection="1">
      <alignment horizontal="left" vertical="center"/>
    </xf>
    <xf numFmtId="0" fontId="41" fillId="5" borderId="49" xfId="0" applyFont="1" applyFill="1" applyBorder="1" applyAlignment="1" applyProtection="1">
      <alignment horizontal="left" vertical="center"/>
    </xf>
    <xf numFmtId="0" fontId="41" fillId="5" borderId="50" xfId="0" applyFont="1" applyFill="1" applyBorder="1" applyAlignment="1" applyProtection="1">
      <alignment horizontal="left" vertical="center"/>
    </xf>
    <xf numFmtId="10" fontId="1" fillId="2" borderId="72" xfId="1650" applyNumberFormat="1" applyFont="1" applyFill="1" applyBorder="1" applyAlignment="1" applyProtection="1">
      <alignment horizontal="center" vertical="center"/>
    </xf>
    <xf numFmtId="10" fontId="1" fillId="2" borderId="85" xfId="1650" applyNumberFormat="1" applyFont="1" applyFill="1" applyBorder="1" applyAlignment="1" applyProtection="1">
      <alignment horizontal="center" vertical="center"/>
    </xf>
    <xf numFmtId="0" fontId="1" fillId="2" borderId="11" xfId="0" applyFont="1" applyFill="1" applyBorder="1" applyAlignment="1" applyProtection="1">
      <alignment horizontal="left" vertical="center"/>
    </xf>
    <xf numFmtId="0" fontId="1" fillId="4" borderId="60" xfId="0" applyNumberFormat="1" applyFont="1" applyFill="1" applyBorder="1" applyAlignment="1" applyProtection="1">
      <alignment horizontal="center" vertical="center" wrapText="1"/>
      <protection locked="0"/>
    </xf>
    <xf numFmtId="0" fontId="41" fillId="4" borderId="60" xfId="0" applyNumberFormat="1" applyFont="1" applyFill="1" applyBorder="1" applyAlignment="1" applyProtection="1">
      <alignment horizontal="center" vertical="center" wrapText="1"/>
      <protection locked="0"/>
    </xf>
    <xf numFmtId="168" fontId="41" fillId="4" borderId="78" xfId="0" applyNumberFormat="1" applyFont="1" applyFill="1" applyBorder="1" applyAlignment="1" applyProtection="1">
      <alignment horizontal="center" vertical="center" wrapText="1"/>
      <protection locked="0"/>
    </xf>
    <xf numFmtId="168" fontId="41" fillId="4" borderId="61" xfId="0" applyNumberFormat="1" applyFont="1" applyFill="1" applyBorder="1" applyAlignment="1" applyProtection="1">
      <alignment horizontal="center" vertical="center" wrapText="1"/>
      <protection locked="0"/>
    </xf>
    <xf numFmtId="172" fontId="41" fillId="4" borderId="79" xfId="0" applyNumberFormat="1" applyFont="1" applyFill="1" applyBorder="1" applyAlignment="1" applyProtection="1">
      <alignment horizontal="center" vertical="center" wrapText="1"/>
      <protection locked="0"/>
    </xf>
    <xf numFmtId="172" fontId="41" fillId="4" borderId="60" xfId="0" applyNumberFormat="1" applyFont="1" applyFill="1" applyBorder="1" applyAlignment="1" applyProtection="1">
      <alignment horizontal="center" vertical="center" wrapText="1"/>
      <protection locked="0"/>
    </xf>
    <xf numFmtId="168" fontId="41" fillId="4" borderId="79" xfId="0" applyNumberFormat="1" applyFont="1" applyFill="1" applyBorder="1" applyAlignment="1" applyProtection="1">
      <alignment horizontal="center" vertical="center" wrapText="1"/>
      <protection locked="0"/>
    </xf>
    <xf numFmtId="168" fontId="41" fillId="4" borderId="60" xfId="0" applyNumberFormat="1" applyFont="1" applyFill="1" applyBorder="1" applyAlignment="1" applyProtection="1">
      <alignment horizontal="center" vertical="center" wrapText="1"/>
      <protection locked="0"/>
    </xf>
    <xf numFmtId="0" fontId="41" fillId="4" borderId="71" xfId="0" applyNumberFormat="1" applyFont="1" applyFill="1" applyBorder="1" applyAlignment="1" applyProtection="1">
      <alignment horizontal="center" vertical="center" wrapText="1"/>
      <protection locked="0"/>
    </xf>
    <xf numFmtId="0" fontId="41" fillId="4" borderId="72" xfId="0" applyNumberFormat="1" applyFont="1" applyFill="1" applyBorder="1" applyAlignment="1" applyProtection="1">
      <alignment horizontal="center" vertical="center" wrapText="1"/>
      <protection locked="0"/>
    </xf>
    <xf numFmtId="0" fontId="60" fillId="5" borderId="68" xfId="0" applyFont="1" applyFill="1" applyBorder="1" applyAlignment="1" applyProtection="1">
      <alignment horizontal="center" vertical="center" wrapText="1"/>
    </xf>
    <xf numFmtId="0" fontId="41" fillId="4" borderId="61" xfId="0" applyFont="1" applyFill="1" applyBorder="1" applyAlignment="1" applyProtection="1">
      <alignment horizontal="center" vertical="center" wrapText="1"/>
      <protection locked="0"/>
    </xf>
    <xf numFmtId="0" fontId="55" fillId="5" borderId="39" xfId="0" applyFont="1" applyFill="1" applyBorder="1" applyAlignment="1" applyProtection="1">
      <alignment horizontal="center" vertical="center"/>
    </xf>
    <xf numFmtId="0" fontId="55" fillId="5" borderId="40" xfId="0" applyFont="1" applyFill="1" applyBorder="1" applyAlignment="1" applyProtection="1">
      <alignment horizontal="center" vertical="center"/>
    </xf>
    <xf numFmtId="9" fontId="1" fillId="2" borderId="39" xfId="1650" applyFont="1" applyFill="1" applyBorder="1" applyAlignment="1" applyProtection="1">
      <alignment horizontal="center" vertical="center"/>
    </xf>
    <xf numFmtId="9" fontId="1" fillId="2" borderId="40" xfId="1650" applyFont="1" applyFill="1" applyBorder="1" applyAlignment="1" applyProtection="1">
      <alignment horizontal="center" vertical="center"/>
    </xf>
    <xf numFmtId="0" fontId="1" fillId="5" borderId="48" xfId="0" applyFont="1" applyFill="1" applyBorder="1" applyAlignment="1" applyProtection="1">
      <alignment horizontal="center" vertical="center"/>
    </xf>
    <xf numFmtId="0" fontId="1" fillId="5" borderId="49" xfId="0" applyFont="1" applyFill="1" applyBorder="1" applyAlignment="1" applyProtection="1">
      <alignment horizontal="center" vertical="center"/>
    </xf>
    <xf numFmtId="0" fontId="1" fillId="5" borderId="50" xfId="0" applyFont="1" applyFill="1" applyBorder="1" applyAlignment="1" applyProtection="1">
      <alignment horizontal="center" vertical="center"/>
    </xf>
    <xf numFmtId="0" fontId="1" fillId="5" borderId="51" xfId="0" applyFont="1" applyFill="1" applyBorder="1" applyAlignment="1" applyProtection="1">
      <alignment horizontal="center" vertical="center"/>
    </xf>
    <xf numFmtId="0" fontId="1" fillId="5" borderId="83" xfId="0" applyFont="1" applyFill="1" applyBorder="1" applyAlignment="1" applyProtection="1">
      <alignment horizontal="center" vertical="center"/>
    </xf>
    <xf numFmtId="0" fontId="1" fillId="5" borderId="52" xfId="0" applyFont="1" applyFill="1" applyBorder="1" applyAlignment="1" applyProtection="1">
      <alignment horizontal="center" vertical="center"/>
    </xf>
    <xf numFmtId="0" fontId="41" fillId="2" borderId="53" xfId="0" applyFont="1" applyFill="1" applyBorder="1" applyAlignment="1" applyProtection="1">
      <alignment horizontal="center" vertical="center"/>
    </xf>
    <xf numFmtId="0" fontId="41" fillId="2" borderId="54" xfId="0" applyFont="1" applyFill="1" applyBorder="1" applyAlignment="1" applyProtection="1">
      <alignment horizontal="center" vertical="center"/>
    </xf>
    <xf numFmtId="0" fontId="41" fillId="2" borderId="55" xfId="0" applyFont="1" applyFill="1" applyBorder="1" applyAlignment="1" applyProtection="1">
      <alignment horizontal="center" vertical="center"/>
    </xf>
    <xf numFmtId="0" fontId="1" fillId="5" borderId="58" xfId="0" applyFont="1" applyFill="1" applyBorder="1" applyAlignment="1" applyProtection="1">
      <alignment horizontal="center" vertical="center"/>
    </xf>
    <xf numFmtId="0" fontId="1" fillId="5" borderId="56" xfId="0" applyFont="1" applyFill="1" applyBorder="1" applyAlignment="1" applyProtection="1">
      <alignment horizontal="center" vertical="center"/>
    </xf>
    <xf numFmtId="0" fontId="1" fillId="5" borderId="57" xfId="0" applyFont="1" applyFill="1" applyBorder="1" applyAlignment="1" applyProtection="1">
      <alignment horizontal="center" vertical="center"/>
    </xf>
    <xf numFmtId="0" fontId="41" fillId="0" borderId="4" xfId="0" applyFont="1" applyBorder="1" applyAlignment="1" applyProtection="1">
      <alignment horizontal="left" vertical="top" wrapText="1"/>
    </xf>
    <xf numFmtId="0" fontId="41" fillId="0" borderId="5" xfId="0" applyFont="1" applyBorder="1" applyAlignment="1" applyProtection="1">
      <alignment horizontal="left" vertical="top" wrapText="1"/>
    </xf>
    <xf numFmtId="0" fontId="1" fillId="0" borderId="53" xfId="0" applyFont="1" applyBorder="1" applyAlignment="1" applyProtection="1">
      <alignment horizontal="center" vertical="center"/>
    </xf>
    <xf numFmtId="0" fontId="1" fillId="0" borderId="54"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5" borderId="58" xfId="0" applyFont="1" applyFill="1" applyBorder="1" applyAlignment="1" applyProtection="1">
      <alignment horizontal="left" vertical="center"/>
    </xf>
    <xf numFmtId="0" fontId="1" fillId="5" borderId="56" xfId="0" applyFont="1" applyFill="1" applyBorder="1" applyAlignment="1" applyProtection="1">
      <alignment horizontal="left" vertical="center"/>
    </xf>
    <xf numFmtId="0" fontId="1" fillId="5" borderId="57" xfId="0" applyFont="1" applyFill="1" applyBorder="1" applyAlignment="1" applyProtection="1">
      <alignment horizontal="left" vertical="center"/>
    </xf>
    <xf numFmtId="0" fontId="41" fillId="4" borderId="39" xfId="0" applyFont="1" applyFill="1" applyBorder="1" applyAlignment="1" applyProtection="1">
      <alignment horizontal="center" vertical="center"/>
      <protection locked="0"/>
    </xf>
    <xf numFmtId="0" fontId="41" fillId="4" borderId="40" xfId="0" applyFont="1" applyFill="1" applyBorder="1" applyAlignment="1" applyProtection="1">
      <alignment horizontal="center" vertical="center"/>
      <protection locked="0"/>
    </xf>
    <xf numFmtId="0" fontId="1" fillId="4" borderId="39" xfId="0" applyFont="1" applyFill="1" applyBorder="1" applyAlignment="1" applyProtection="1">
      <alignment horizontal="center" vertical="center"/>
      <protection locked="0"/>
    </xf>
    <xf numFmtId="0" fontId="1" fillId="4" borderId="40" xfId="0" applyFont="1" applyFill="1" applyBorder="1" applyAlignment="1" applyProtection="1">
      <alignment horizontal="center" vertical="center"/>
      <protection locked="0"/>
    </xf>
    <xf numFmtId="0" fontId="1" fillId="4" borderId="43" xfId="0" applyFont="1" applyFill="1" applyBorder="1" applyAlignment="1" applyProtection="1">
      <alignment horizontal="center" vertical="center"/>
      <protection locked="0"/>
    </xf>
    <xf numFmtId="0" fontId="1" fillId="4" borderId="44" xfId="0" applyFont="1" applyFill="1" applyBorder="1" applyAlignment="1" applyProtection="1">
      <alignment horizontal="center" vertical="center"/>
      <protection locked="0"/>
    </xf>
    <xf numFmtId="0" fontId="1" fillId="5" borderId="48" xfId="0" applyFont="1" applyFill="1" applyBorder="1" applyAlignment="1" applyProtection="1">
      <alignment horizontal="left" vertical="center"/>
    </xf>
    <xf numFmtId="0" fontId="1" fillId="5" borderId="49" xfId="0" applyFont="1" applyFill="1" applyBorder="1" applyAlignment="1" applyProtection="1">
      <alignment horizontal="left" vertical="center"/>
    </xf>
    <xf numFmtId="0" fontId="1" fillId="5" borderId="50" xfId="0" applyFont="1" applyFill="1" applyBorder="1" applyAlignment="1" applyProtection="1">
      <alignment horizontal="left" vertical="center"/>
    </xf>
    <xf numFmtId="49" fontId="1" fillId="4" borderId="47" xfId="0" applyNumberFormat="1" applyFont="1" applyFill="1" applyBorder="1" applyAlignment="1" applyProtection="1">
      <alignment horizontal="center" vertical="center"/>
      <protection locked="0"/>
    </xf>
    <xf numFmtId="49" fontId="1" fillId="4" borderId="52" xfId="0" applyNumberFormat="1" applyFont="1" applyFill="1" applyBorder="1" applyAlignment="1" applyProtection="1">
      <alignment horizontal="center" vertical="center"/>
      <protection locked="0"/>
    </xf>
    <xf numFmtId="0" fontId="1" fillId="2" borderId="47" xfId="0" applyFont="1" applyFill="1" applyBorder="1" applyAlignment="1" applyProtection="1">
      <alignment horizontal="center" vertical="center"/>
    </xf>
    <xf numFmtId="0" fontId="1" fillId="2" borderId="52" xfId="0" applyFont="1" applyFill="1" applyBorder="1" applyAlignment="1" applyProtection="1">
      <alignment horizontal="center" vertical="center"/>
    </xf>
    <xf numFmtId="0" fontId="57" fillId="5" borderId="48" xfId="0" applyFont="1" applyFill="1" applyBorder="1" applyAlignment="1" applyProtection="1">
      <alignment horizontal="left" vertical="center" wrapText="1"/>
    </xf>
    <xf numFmtId="0" fontId="57" fillId="5" borderId="49" xfId="0" applyFont="1" applyFill="1" applyBorder="1" applyAlignment="1" applyProtection="1">
      <alignment horizontal="left" vertical="center" wrapText="1"/>
    </xf>
    <xf numFmtId="0" fontId="57" fillId="5" borderId="50" xfId="0" applyFont="1" applyFill="1" applyBorder="1" applyAlignment="1" applyProtection="1">
      <alignment horizontal="left" vertical="center" wrapText="1"/>
    </xf>
    <xf numFmtId="0" fontId="57" fillId="4" borderId="53" xfId="0" applyFont="1" applyFill="1" applyBorder="1" applyAlignment="1" applyProtection="1">
      <alignment horizontal="center" vertical="center"/>
      <protection locked="0"/>
    </xf>
    <xf numFmtId="0" fontId="57" fillId="4" borderId="54" xfId="0" applyFont="1" applyFill="1" applyBorder="1" applyAlignment="1" applyProtection="1">
      <alignment horizontal="center" vertical="center"/>
      <protection locked="0"/>
    </xf>
    <xf numFmtId="0" fontId="57" fillId="4" borderId="55" xfId="0" applyFont="1" applyFill="1" applyBorder="1" applyAlignment="1" applyProtection="1">
      <alignment horizontal="center" vertical="center"/>
      <protection locked="0"/>
    </xf>
    <xf numFmtId="0" fontId="41" fillId="5" borderId="56" xfId="0" applyFont="1" applyFill="1" applyBorder="1" applyAlignment="1" applyProtection="1">
      <alignment horizontal="center" vertical="center" wrapText="1"/>
    </xf>
    <xf numFmtId="0" fontId="41" fillId="5" borderId="43" xfId="0" applyFont="1" applyFill="1" applyBorder="1" applyAlignment="1" applyProtection="1">
      <alignment horizontal="center" vertical="center" wrapText="1"/>
    </xf>
    <xf numFmtId="0" fontId="1" fillId="5" borderId="12" xfId="0" applyFont="1" applyFill="1" applyBorder="1" applyAlignment="1" applyProtection="1">
      <alignment horizontal="center" vertical="center" wrapText="1"/>
    </xf>
    <xf numFmtId="0" fontId="1" fillId="5" borderId="10" xfId="0" applyFont="1" applyFill="1" applyBorder="1" applyAlignment="1">
      <alignment horizontal="center" vertical="center" wrapText="1"/>
    </xf>
    <xf numFmtId="0" fontId="48" fillId="0" borderId="0" xfId="0" applyFont="1" applyAlignment="1" applyProtection="1">
      <alignment horizontal="left" vertical="center" wrapText="1"/>
    </xf>
    <xf numFmtId="0" fontId="41" fillId="5" borderId="58" xfId="0" applyFont="1" applyFill="1" applyBorder="1" applyAlignment="1" applyProtection="1">
      <alignment horizontal="center" vertical="center" wrapText="1"/>
    </xf>
    <xf numFmtId="0" fontId="41" fillId="5" borderId="42" xfId="0" applyFont="1" applyFill="1" applyBorder="1" applyAlignment="1" applyProtection="1">
      <alignment horizontal="center" vertical="center" wrapText="1"/>
    </xf>
    <xf numFmtId="0" fontId="59" fillId="0" borderId="12" xfId="0" applyFont="1" applyBorder="1" applyAlignment="1" applyProtection="1">
      <alignment horizontal="left" vertical="top" wrapText="1"/>
    </xf>
    <xf numFmtId="0" fontId="0" fillId="0" borderId="10" xfId="0" applyBorder="1" applyAlignment="1">
      <alignment horizontal="left" vertical="top" wrapText="1"/>
    </xf>
    <xf numFmtId="0" fontId="46" fillId="0" borderId="12" xfId="0" applyFont="1" applyBorder="1" applyAlignment="1" applyProtection="1">
      <alignment horizontal="left" vertical="top" wrapText="1"/>
    </xf>
    <xf numFmtId="0" fontId="46" fillId="0" borderId="13" xfId="0" applyFont="1" applyBorder="1" applyAlignment="1" applyProtection="1">
      <alignment horizontal="left" vertical="top" wrapText="1"/>
    </xf>
    <xf numFmtId="0" fontId="46" fillId="0" borderId="10" xfId="0" applyFont="1" applyBorder="1" applyAlignment="1" applyProtection="1">
      <alignment horizontal="left" vertical="top" wrapText="1"/>
    </xf>
    <xf numFmtId="0" fontId="54" fillId="36" borderId="86" xfId="0" applyNumberFormat="1" applyFont="1" applyFill="1" applyBorder="1" applyAlignment="1" applyProtection="1">
      <alignment horizontal="center" vertical="top" wrapText="1"/>
    </xf>
    <xf numFmtId="0" fontId="54" fillId="36" borderId="40" xfId="0" applyNumberFormat="1" applyFont="1" applyFill="1" applyBorder="1" applyAlignment="1" applyProtection="1">
      <alignment horizontal="center" vertical="top" wrapText="1"/>
    </xf>
    <xf numFmtId="0" fontId="41" fillId="38" borderId="57" xfId="0" applyFont="1" applyFill="1" applyBorder="1" applyAlignment="1" applyProtection="1">
      <alignment horizontal="center" vertical="center" wrapText="1"/>
    </xf>
    <xf numFmtId="0" fontId="41" fillId="38" borderId="44" xfId="0" applyFont="1" applyFill="1" applyBorder="1" applyAlignment="1" applyProtection="1">
      <alignment horizontal="center" vertical="center" wrapText="1"/>
    </xf>
    <xf numFmtId="0" fontId="41" fillId="0" borderId="42" xfId="0" applyFont="1" applyBorder="1" applyAlignment="1" applyProtection="1">
      <alignment horizontal="center" vertical="center"/>
    </xf>
    <xf numFmtId="0" fontId="41" fillId="0" borderId="43" xfId="0" applyFont="1" applyBorder="1" applyAlignment="1" applyProtection="1">
      <alignment horizontal="center" vertical="center"/>
    </xf>
    <xf numFmtId="169" fontId="2" fillId="2" borderId="43" xfId="1649" applyNumberFormat="1" applyFont="1" applyFill="1" applyBorder="1" applyAlignment="1" applyProtection="1">
      <alignment horizontal="center" vertical="center"/>
    </xf>
    <xf numFmtId="169" fontId="2" fillId="2" borderId="44" xfId="1649" applyNumberFormat="1" applyFont="1" applyFill="1" applyBorder="1" applyAlignment="1" applyProtection="1">
      <alignment horizontal="center" vertical="center"/>
    </xf>
    <xf numFmtId="0" fontId="41" fillId="5" borderId="58" xfId="0" applyFont="1" applyFill="1" applyBorder="1" applyAlignment="1" applyProtection="1">
      <alignment horizontal="center" vertical="center"/>
    </xf>
    <xf numFmtId="0" fontId="41" fillId="5" borderId="57" xfId="0" applyFont="1" applyFill="1" applyBorder="1" applyAlignment="1" applyProtection="1">
      <alignment horizontal="center" vertical="center"/>
    </xf>
    <xf numFmtId="0" fontId="41" fillId="5" borderId="41" xfId="0" applyFont="1" applyFill="1" applyBorder="1" applyAlignment="1" applyProtection="1">
      <alignment horizontal="center" vertical="center"/>
    </xf>
    <xf numFmtId="0" fontId="41" fillId="5" borderId="40" xfId="0" applyFont="1" applyFill="1" applyBorder="1" applyAlignment="1" applyProtection="1">
      <alignment horizontal="center" vertical="center"/>
    </xf>
    <xf numFmtId="0" fontId="41" fillId="5" borderId="1" xfId="0" applyFont="1" applyFill="1" applyBorder="1" applyAlignment="1" applyProtection="1">
      <alignment horizontal="center" vertical="center"/>
    </xf>
    <xf numFmtId="0" fontId="41" fillId="5" borderId="2" xfId="0" applyFont="1" applyFill="1" applyBorder="1" applyAlignment="1" applyProtection="1">
      <alignment horizontal="center" vertical="center"/>
    </xf>
    <xf numFmtId="0" fontId="41" fillId="5" borderId="3" xfId="0" applyFont="1" applyFill="1" applyBorder="1" applyAlignment="1" applyProtection="1">
      <alignment horizontal="center" vertical="center"/>
    </xf>
    <xf numFmtId="0" fontId="41" fillId="5" borderId="84" xfId="0" applyFont="1" applyFill="1" applyBorder="1" applyAlignment="1" applyProtection="1">
      <alignment horizontal="center" vertical="center"/>
    </xf>
    <xf numFmtId="0" fontId="41" fillId="5" borderId="87" xfId="0" applyFont="1" applyFill="1" applyBorder="1" applyAlignment="1" applyProtection="1">
      <alignment horizontal="center" vertical="center"/>
    </xf>
    <xf numFmtId="0" fontId="41" fillId="5" borderId="85" xfId="0" applyFont="1" applyFill="1" applyBorder="1" applyAlignment="1" applyProtection="1">
      <alignment horizontal="center" vertical="center"/>
    </xf>
    <xf numFmtId="0" fontId="2" fillId="5" borderId="56" xfId="0" applyFont="1" applyFill="1" applyBorder="1" applyAlignment="1" applyProtection="1">
      <alignment horizontal="center" vertical="center"/>
    </xf>
    <xf numFmtId="0" fontId="2" fillId="5" borderId="66" xfId="0" applyFont="1" applyFill="1" applyBorder="1" applyAlignment="1" applyProtection="1">
      <alignment horizontal="center" vertical="center"/>
    </xf>
    <xf numFmtId="0" fontId="41" fillId="5" borderId="56" xfId="0" applyFont="1" applyFill="1" applyBorder="1" applyAlignment="1" applyProtection="1">
      <alignment horizontal="center" vertical="center"/>
    </xf>
    <xf numFmtId="0" fontId="41" fillId="0" borderId="41" xfId="0" applyFont="1" applyBorder="1" applyAlignment="1" applyProtection="1">
      <alignment horizontal="center" vertical="center"/>
    </xf>
    <xf numFmtId="0" fontId="41" fillId="0" borderId="39" xfId="0" applyFont="1" applyBorder="1" applyAlignment="1" applyProtection="1">
      <alignment horizontal="center" vertical="center"/>
    </xf>
    <xf numFmtId="169" fontId="2" fillId="2" borderId="39" xfId="0" applyNumberFormat="1"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6" fontId="2" fillId="2" borderId="39" xfId="1649" applyNumberFormat="1" applyFont="1" applyFill="1" applyBorder="1" applyAlignment="1" applyProtection="1">
      <alignment horizontal="center" vertical="center"/>
    </xf>
    <xf numFmtId="6" fontId="2" fillId="2" borderId="40" xfId="1649" applyNumberFormat="1" applyFont="1" applyFill="1" applyBorder="1" applyAlignment="1" applyProtection="1">
      <alignment horizontal="center" vertical="center"/>
    </xf>
    <xf numFmtId="0" fontId="41" fillId="5" borderId="41" xfId="0" applyFont="1" applyFill="1" applyBorder="1" applyAlignment="1" applyProtection="1">
      <alignment horizontal="center" vertical="center" wrapText="1"/>
    </xf>
    <xf numFmtId="0" fontId="41" fillId="5" borderId="40"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5" borderId="2"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84" xfId="0" applyFont="1" applyFill="1" applyBorder="1" applyAlignment="1" applyProtection="1">
      <alignment horizontal="center" vertical="center" wrapText="1"/>
    </xf>
    <xf numFmtId="0" fontId="1" fillId="5" borderId="11" xfId="0" applyFont="1" applyFill="1" applyBorder="1" applyAlignment="1" applyProtection="1">
      <alignment horizontal="center" vertical="center" wrapText="1"/>
    </xf>
    <xf numFmtId="0" fontId="1" fillId="5" borderId="85" xfId="0" applyFont="1" applyFill="1" applyBorder="1" applyAlignment="1" applyProtection="1">
      <alignment horizontal="center" vertical="center" wrapText="1"/>
    </xf>
    <xf numFmtId="0" fontId="1" fillId="5" borderId="41" xfId="0" applyFont="1" applyFill="1" applyBorder="1" applyAlignment="1" applyProtection="1">
      <alignment horizontal="center" vertical="center"/>
    </xf>
    <xf numFmtId="0" fontId="1" fillId="5" borderId="40" xfId="0" applyFont="1" applyFill="1" applyBorder="1" applyAlignment="1" applyProtection="1">
      <alignment horizontal="center" vertical="center"/>
    </xf>
    <xf numFmtId="0" fontId="1" fillId="5" borderId="91" xfId="0" applyFont="1" applyFill="1" applyBorder="1" applyAlignment="1" applyProtection="1">
      <alignment horizontal="center" vertical="center"/>
    </xf>
    <xf numFmtId="0" fontId="1" fillId="5" borderId="92"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0" fontId="1" fillId="5" borderId="93" xfId="0" applyFont="1" applyFill="1" applyBorder="1" applyAlignment="1" applyProtection="1">
      <alignment horizontal="center" vertical="center"/>
    </xf>
    <xf numFmtId="0" fontId="1" fillId="5" borderId="94" xfId="0" applyFont="1" applyFill="1" applyBorder="1" applyAlignment="1" applyProtection="1">
      <alignment horizontal="center" vertical="center"/>
    </xf>
    <xf numFmtId="171" fontId="1" fillId="0" borderId="12" xfId="0" applyNumberFormat="1" applyFont="1" applyBorder="1" applyAlignment="1" applyProtection="1">
      <alignment horizontal="left"/>
    </xf>
    <xf numFmtId="171" fontId="1" fillId="0" borderId="10" xfId="0" applyNumberFormat="1" applyFont="1" applyBorder="1" applyAlignment="1" applyProtection="1">
      <alignment horizontal="left"/>
    </xf>
    <xf numFmtId="0" fontId="1" fillId="35" borderId="11" xfId="0" applyFont="1" applyFill="1" applyBorder="1" applyAlignment="1" applyProtection="1">
      <alignment horizontal="center" vertical="center"/>
    </xf>
    <xf numFmtId="0" fontId="1" fillId="2" borderId="12" xfId="0" applyFont="1" applyFill="1" applyBorder="1" applyAlignment="1" applyProtection="1">
      <alignment horizontal="left"/>
    </xf>
    <xf numFmtId="0" fontId="1" fillId="2" borderId="10" xfId="0" applyFont="1" applyFill="1" applyBorder="1" applyAlignment="1" applyProtection="1">
      <alignment horizontal="left"/>
    </xf>
    <xf numFmtId="0" fontId="1" fillId="35" borderId="11" xfId="0" applyFont="1" applyFill="1" applyBorder="1" applyAlignment="1" applyProtection="1">
      <alignment horizontal="center" vertical="top"/>
    </xf>
    <xf numFmtId="0" fontId="1" fillId="2" borderId="7" xfId="0" applyFont="1" applyFill="1" applyBorder="1" applyAlignment="1" applyProtection="1">
      <alignment horizontal="left" vertical="center"/>
    </xf>
    <xf numFmtId="0" fontId="1" fillId="2" borderId="9" xfId="0" applyFont="1" applyFill="1" applyBorder="1" applyAlignment="1" applyProtection="1">
      <alignment horizontal="left" vertical="center"/>
    </xf>
    <xf numFmtId="0" fontId="1" fillId="2" borderId="12" xfId="0" applyFont="1" applyFill="1" applyBorder="1" applyAlignment="1" applyProtection="1">
      <alignment horizontal="left" vertical="center"/>
    </xf>
    <xf numFmtId="0" fontId="1" fillId="2" borderId="10" xfId="0" applyFont="1" applyFill="1" applyBorder="1" applyAlignment="1" applyProtection="1">
      <alignment horizontal="left" vertical="center"/>
    </xf>
    <xf numFmtId="1" fontId="1" fillId="0" borderId="12" xfId="0" applyNumberFormat="1" applyFont="1" applyBorder="1" applyAlignment="1" applyProtection="1">
      <alignment horizontal="center" vertical="center"/>
    </xf>
    <xf numFmtId="1" fontId="1" fillId="0" borderId="10" xfId="0" applyNumberFormat="1" applyFont="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0" xfId="0" applyFont="1" applyBorder="1" applyAlignment="1" applyProtection="1">
      <alignment horizontal="center" vertical="center"/>
    </xf>
    <xf numFmtId="0" fontId="41" fillId="36" borderId="63" xfId="0" applyNumberFormat="1" applyFont="1" applyFill="1" applyBorder="1" applyAlignment="1" applyProtection="1">
      <alignment horizontal="center" vertical="center" wrapText="1"/>
    </xf>
    <xf numFmtId="0" fontId="41" fillId="36" borderId="39" xfId="0" applyNumberFormat="1" applyFont="1" applyFill="1" applyBorder="1" applyAlignment="1" applyProtection="1">
      <alignment horizontal="center" vertical="center" wrapText="1"/>
    </xf>
    <xf numFmtId="0" fontId="41" fillId="36" borderId="62" xfId="0" applyNumberFormat="1" applyFont="1" applyFill="1" applyBorder="1" applyAlignment="1" applyProtection="1">
      <alignment horizontal="center" vertical="center" wrapText="1"/>
    </xf>
    <xf numFmtId="0" fontId="1" fillId="37" borderId="12" xfId="0" applyFont="1" applyFill="1" applyBorder="1" applyAlignment="1" applyProtection="1">
      <alignment horizontal="center" vertical="top" wrapText="1"/>
    </xf>
    <xf numFmtId="0" fontId="1" fillId="37" borderId="13" xfId="0" applyFont="1" applyFill="1" applyBorder="1" applyAlignment="1" applyProtection="1">
      <alignment horizontal="center" vertical="top" wrapText="1"/>
    </xf>
    <xf numFmtId="0" fontId="1" fillId="37" borderId="10" xfId="0" applyFont="1" applyFill="1" applyBorder="1" applyAlignment="1" applyProtection="1">
      <alignment horizontal="center" vertical="top" wrapText="1"/>
    </xf>
    <xf numFmtId="0" fontId="1" fillId="38" borderId="45" xfId="0" applyFont="1" applyFill="1" applyBorder="1" applyAlignment="1" applyProtection="1">
      <alignment horizontal="center" vertical="top" wrapText="1"/>
    </xf>
    <xf numFmtId="0" fontId="1" fillId="38" borderId="67" xfId="0" applyFont="1" applyFill="1" applyBorder="1" applyAlignment="1" applyProtection="1">
      <alignment horizontal="center" vertical="top" wrapText="1"/>
    </xf>
    <xf numFmtId="0" fontId="1" fillId="38" borderId="46" xfId="0" applyFont="1" applyFill="1" applyBorder="1" applyAlignment="1" applyProtection="1">
      <alignment horizontal="center" vertical="top" wrapText="1"/>
    </xf>
    <xf numFmtId="10" fontId="1" fillId="0" borderId="12" xfId="0" applyNumberFormat="1" applyFont="1" applyBorder="1" applyAlignment="1" applyProtection="1">
      <alignment horizontal="center" vertical="center"/>
    </xf>
    <xf numFmtId="10" fontId="1" fillId="0" borderId="13" xfId="0" applyNumberFormat="1" applyFont="1" applyBorder="1" applyAlignment="1" applyProtection="1">
      <alignment horizontal="center" vertical="center"/>
    </xf>
    <xf numFmtId="10" fontId="1" fillId="0" borderId="10" xfId="0" applyNumberFormat="1" applyFont="1" applyBorder="1" applyAlignment="1" applyProtection="1">
      <alignment horizontal="center" vertical="center"/>
    </xf>
    <xf numFmtId="0" fontId="1" fillId="35" borderId="11" xfId="0" applyFont="1" applyFill="1" applyBorder="1" applyAlignment="1" applyProtection="1">
      <alignment horizontal="center"/>
    </xf>
    <xf numFmtId="0" fontId="0" fillId="0" borderId="1" xfId="0" applyBorder="1" applyAlignment="1" applyProtection="1">
      <alignment horizontal="left" vertical="top"/>
    </xf>
    <xf numFmtId="0" fontId="0" fillId="0" borderId="2" xfId="0" applyBorder="1" applyAlignment="1" applyProtection="1">
      <alignment horizontal="left" vertical="top"/>
    </xf>
    <xf numFmtId="0" fontId="0" fillId="0" borderId="3" xfId="0" applyBorder="1" applyAlignment="1" applyProtection="1">
      <alignment horizontal="left" vertical="top"/>
    </xf>
    <xf numFmtId="0" fontId="0" fillId="0" borderId="4" xfId="0" applyBorder="1" applyAlignment="1" applyProtection="1">
      <alignment horizontal="left" vertical="top"/>
    </xf>
    <xf numFmtId="0" fontId="0" fillId="0" borderId="0" xfId="0" applyBorder="1" applyAlignment="1" applyProtection="1">
      <alignment horizontal="left" vertical="top"/>
    </xf>
    <xf numFmtId="0" fontId="0" fillId="0" borderId="5" xfId="0" applyBorder="1" applyAlignment="1" applyProtection="1">
      <alignment horizontal="left" vertical="top"/>
    </xf>
    <xf numFmtId="0" fontId="0" fillId="0" borderId="7" xfId="0" applyBorder="1" applyAlignment="1" applyProtection="1">
      <alignment horizontal="left" vertical="top"/>
    </xf>
    <xf numFmtId="0" fontId="0" fillId="0" borderId="11" xfId="0" applyBorder="1" applyAlignment="1" applyProtection="1">
      <alignment horizontal="left" vertical="top"/>
    </xf>
    <xf numFmtId="0" fontId="0" fillId="0" borderId="9" xfId="0" applyBorder="1" applyAlignment="1" applyProtection="1">
      <alignment horizontal="left" vertical="top"/>
    </xf>
    <xf numFmtId="0" fontId="0" fillId="0" borderId="1"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3"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11"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1" fillId="34" borderId="12" xfId="0" applyFont="1" applyFill="1" applyBorder="1" applyAlignment="1" applyProtection="1">
      <alignment horizontal="center" vertical="center"/>
    </xf>
    <xf numFmtId="0" fontId="1" fillId="34" borderId="13" xfId="0" applyFont="1" applyFill="1" applyBorder="1" applyAlignment="1" applyProtection="1">
      <alignment horizontal="center" vertical="center"/>
    </xf>
    <xf numFmtId="0" fontId="1" fillId="39" borderId="45" xfId="0" applyFont="1" applyFill="1" applyBorder="1" applyAlignment="1" applyProtection="1">
      <alignment horizontal="center" vertical="center"/>
    </xf>
    <xf numFmtId="0" fontId="1" fillId="39" borderId="46" xfId="0" applyFont="1" applyFill="1" applyBorder="1" applyAlignment="1" applyProtection="1">
      <alignment horizontal="center" vertical="center"/>
    </xf>
    <xf numFmtId="0" fontId="41" fillId="36" borderId="70" xfId="0" applyNumberFormat="1" applyFont="1" applyFill="1" applyBorder="1" applyAlignment="1" applyProtection="1">
      <alignment horizontal="center" vertical="center" wrapText="1"/>
    </xf>
    <xf numFmtId="0" fontId="41" fillId="36" borderId="73" xfId="0" applyNumberFormat="1" applyFont="1" applyFill="1" applyBorder="1" applyAlignment="1" applyProtection="1">
      <alignment horizontal="center" vertical="center" wrapText="1"/>
    </xf>
    <xf numFmtId="0" fontId="41" fillId="36" borderId="74" xfId="0" applyNumberFormat="1" applyFont="1" applyFill="1" applyBorder="1" applyAlignment="1" applyProtection="1">
      <alignment horizontal="center" vertical="center" wrapText="1"/>
    </xf>
    <xf numFmtId="0" fontId="41" fillId="36" borderId="71" xfId="0" applyNumberFormat="1" applyFont="1" applyFill="1" applyBorder="1" applyAlignment="1" applyProtection="1">
      <alignment horizontal="center" vertical="center" wrapText="1"/>
    </xf>
    <xf numFmtId="0" fontId="41" fillId="36" borderId="0" xfId="0" applyNumberFormat="1" applyFont="1" applyFill="1" applyBorder="1" applyAlignment="1" applyProtection="1">
      <alignment horizontal="center" vertical="center" wrapText="1"/>
    </xf>
    <xf numFmtId="0" fontId="41" fillId="36" borderId="75" xfId="0" applyNumberFormat="1" applyFont="1" applyFill="1" applyBorder="1" applyAlignment="1" applyProtection="1">
      <alignment horizontal="center" vertical="center" wrapText="1"/>
    </xf>
    <xf numFmtId="0" fontId="41" fillId="36" borderId="69" xfId="0" applyNumberFormat="1" applyFont="1" applyFill="1" applyBorder="1" applyAlignment="1" applyProtection="1">
      <alignment horizontal="center" vertical="center" wrapText="1"/>
    </xf>
    <xf numFmtId="0" fontId="41" fillId="36" borderId="76" xfId="0" applyNumberFormat="1" applyFont="1" applyFill="1" applyBorder="1" applyAlignment="1" applyProtection="1">
      <alignment horizontal="center" vertical="center" wrapText="1"/>
    </xf>
    <xf numFmtId="0" fontId="41" fillId="36" borderId="77" xfId="0" applyNumberFormat="1" applyFont="1" applyFill="1" applyBorder="1" applyAlignment="1" applyProtection="1">
      <alignment horizontal="center" vertical="center" wrapText="1"/>
    </xf>
    <xf numFmtId="0" fontId="1" fillId="38" borderId="48" xfId="0" applyFont="1" applyFill="1" applyBorder="1" applyAlignment="1" applyProtection="1">
      <alignment horizontal="center"/>
    </xf>
    <xf numFmtId="0" fontId="1" fillId="38" borderId="49" xfId="0" applyFont="1" applyFill="1" applyBorder="1" applyAlignment="1" applyProtection="1">
      <alignment horizontal="center"/>
    </xf>
    <xf numFmtId="0" fontId="1" fillId="38" borderId="50" xfId="0" applyFont="1" applyFill="1" applyBorder="1" applyAlignment="1" applyProtection="1">
      <alignment horizontal="center"/>
    </xf>
    <xf numFmtId="164" fontId="1" fillId="5" borderId="39" xfId="0" applyNumberFormat="1" applyFont="1" applyFill="1" applyBorder="1" applyAlignment="1">
      <alignment horizontal="center" vertical="center"/>
    </xf>
    <xf numFmtId="0" fontId="1" fillId="38" borderId="0" xfId="0" applyFont="1" applyFill="1" applyBorder="1" applyAlignment="1">
      <alignment horizontal="left" vertical="center"/>
    </xf>
    <xf numFmtId="10" fontId="1" fillId="5" borderId="39" xfId="1650" applyNumberFormat="1" applyFont="1" applyFill="1" applyBorder="1" applyAlignment="1">
      <alignment horizontal="left" vertical="center"/>
    </xf>
    <xf numFmtId="0" fontId="0" fillId="0" borderId="0" xfId="0" applyFont="1" applyBorder="1" applyAlignment="1">
      <alignment horizontal="left"/>
    </xf>
    <xf numFmtId="0" fontId="0" fillId="38" borderId="0" xfId="0" applyFill="1" applyAlignment="1">
      <alignment horizontal="center"/>
    </xf>
    <xf numFmtId="0" fontId="1" fillId="38" borderId="0" xfId="0" applyFont="1" applyFill="1" applyAlignment="1">
      <alignment horizontal="center" vertical="center"/>
    </xf>
  </cellXfs>
  <cellStyles count="1651">
    <cellStyle name="20% - Accent1 2" xfId="1" xr:uid="{00000000-0005-0000-0000-000000000000}"/>
    <cellStyle name="20% - Accent1 2 2" xfId="945" xr:uid="{00000000-0005-0000-0000-000001000000}"/>
    <cellStyle name="20% - Accent1 2 3" xfId="946" xr:uid="{00000000-0005-0000-0000-000002000000}"/>
    <cellStyle name="20% - Accent1 3" xfId="2" xr:uid="{00000000-0005-0000-0000-000003000000}"/>
    <cellStyle name="20% - Accent2 2" xfId="3" xr:uid="{00000000-0005-0000-0000-000004000000}"/>
    <cellStyle name="20% - Accent2 2 2" xfId="947" xr:uid="{00000000-0005-0000-0000-000005000000}"/>
    <cellStyle name="20% - Accent2 2 3" xfId="948" xr:uid="{00000000-0005-0000-0000-000006000000}"/>
    <cellStyle name="20% - Accent2 3" xfId="4" xr:uid="{00000000-0005-0000-0000-000007000000}"/>
    <cellStyle name="20% - Accent3 2" xfId="5" xr:uid="{00000000-0005-0000-0000-000008000000}"/>
    <cellStyle name="20% - Accent3 2 2" xfId="949" xr:uid="{00000000-0005-0000-0000-000009000000}"/>
    <cellStyle name="20% - Accent3 2 3" xfId="950" xr:uid="{00000000-0005-0000-0000-00000A000000}"/>
    <cellStyle name="20% - Accent3 3" xfId="6" xr:uid="{00000000-0005-0000-0000-00000B000000}"/>
    <cellStyle name="20% - Accent4 2" xfId="7" xr:uid="{00000000-0005-0000-0000-00000C000000}"/>
    <cellStyle name="20% - Accent4 2 2" xfId="951" xr:uid="{00000000-0005-0000-0000-00000D000000}"/>
    <cellStyle name="20% - Accent4 2 3" xfId="952" xr:uid="{00000000-0005-0000-0000-00000E000000}"/>
    <cellStyle name="20% - Accent4 3" xfId="8" xr:uid="{00000000-0005-0000-0000-00000F000000}"/>
    <cellStyle name="20% - Accent5 2" xfId="9" xr:uid="{00000000-0005-0000-0000-000010000000}"/>
    <cellStyle name="20% - Accent5 3" xfId="10" xr:uid="{00000000-0005-0000-0000-000011000000}"/>
    <cellStyle name="20% - Accent6 2" xfId="11" xr:uid="{00000000-0005-0000-0000-000012000000}"/>
    <cellStyle name="20% - Accent6 2 2" xfId="953" xr:uid="{00000000-0005-0000-0000-000013000000}"/>
    <cellStyle name="20% - Accent6 2 3" xfId="954" xr:uid="{00000000-0005-0000-0000-000014000000}"/>
    <cellStyle name="20% - Accent6 3" xfId="12" xr:uid="{00000000-0005-0000-0000-000015000000}"/>
    <cellStyle name="40% - Accent1 2" xfId="13" xr:uid="{00000000-0005-0000-0000-000016000000}"/>
    <cellStyle name="40% - Accent1 2 2" xfId="955" xr:uid="{00000000-0005-0000-0000-000017000000}"/>
    <cellStyle name="40% - Accent1 2 3" xfId="956" xr:uid="{00000000-0005-0000-0000-000018000000}"/>
    <cellStyle name="40% - Accent1 3" xfId="14" xr:uid="{00000000-0005-0000-0000-000019000000}"/>
    <cellStyle name="40% - Accent2 2" xfId="15" xr:uid="{00000000-0005-0000-0000-00001A000000}"/>
    <cellStyle name="40% - Accent2 3" xfId="16" xr:uid="{00000000-0005-0000-0000-00001B000000}"/>
    <cellStyle name="40% - Accent3 2" xfId="17" xr:uid="{00000000-0005-0000-0000-00001C000000}"/>
    <cellStyle name="40% - Accent3 2 2" xfId="957" xr:uid="{00000000-0005-0000-0000-00001D000000}"/>
    <cellStyle name="40% - Accent3 2 3" xfId="958" xr:uid="{00000000-0005-0000-0000-00001E000000}"/>
    <cellStyle name="40% - Accent3 3" xfId="18" xr:uid="{00000000-0005-0000-0000-00001F000000}"/>
    <cellStyle name="40% - Accent4 2" xfId="19" xr:uid="{00000000-0005-0000-0000-000020000000}"/>
    <cellStyle name="40% - Accent4 2 2" xfId="959" xr:uid="{00000000-0005-0000-0000-000021000000}"/>
    <cellStyle name="40% - Accent4 2 3" xfId="960" xr:uid="{00000000-0005-0000-0000-000022000000}"/>
    <cellStyle name="40% - Accent4 3" xfId="20" xr:uid="{00000000-0005-0000-0000-000023000000}"/>
    <cellStyle name="40% - Accent5 2" xfId="21" xr:uid="{00000000-0005-0000-0000-000024000000}"/>
    <cellStyle name="40% - Accent5 2 2" xfId="961" xr:uid="{00000000-0005-0000-0000-000025000000}"/>
    <cellStyle name="40% - Accent5 2 3" xfId="962" xr:uid="{00000000-0005-0000-0000-000026000000}"/>
    <cellStyle name="40% - Accent5 3" xfId="22" xr:uid="{00000000-0005-0000-0000-000027000000}"/>
    <cellStyle name="40% - Accent6 2" xfId="23" xr:uid="{00000000-0005-0000-0000-000028000000}"/>
    <cellStyle name="40% - Accent6 2 2" xfId="963" xr:uid="{00000000-0005-0000-0000-000029000000}"/>
    <cellStyle name="40% - Accent6 2 3" xfId="964" xr:uid="{00000000-0005-0000-0000-00002A000000}"/>
    <cellStyle name="40% - Accent6 3" xfId="24" xr:uid="{00000000-0005-0000-0000-00002B000000}"/>
    <cellStyle name="60% - Accent1 2" xfId="25" xr:uid="{00000000-0005-0000-0000-00002C000000}"/>
    <cellStyle name="60% - Accent1 2 10" xfId="965" xr:uid="{00000000-0005-0000-0000-00002D000000}"/>
    <cellStyle name="60% - Accent1 2 2" xfId="26" xr:uid="{00000000-0005-0000-0000-00002E000000}"/>
    <cellStyle name="60% - Accent1 2 3" xfId="27" xr:uid="{00000000-0005-0000-0000-00002F000000}"/>
    <cellStyle name="60% - Accent1 2 4" xfId="28" xr:uid="{00000000-0005-0000-0000-000030000000}"/>
    <cellStyle name="60% - Accent1 2 5" xfId="29" xr:uid="{00000000-0005-0000-0000-000031000000}"/>
    <cellStyle name="60% - Accent1 2 6" xfId="30" xr:uid="{00000000-0005-0000-0000-000032000000}"/>
    <cellStyle name="60% - Accent1 2 7" xfId="31" xr:uid="{00000000-0005-0000-0000-000033000000}"/>
    <cellStyle name="60% - Accent1 2 8" xfId="32" xr:uid="{00000000-0005-0000-0000-000034000000}"/>
    <cellStyle name="60% - Accent1 2 9" xfId="966" xr:uid="{00000000-0005-0000-0000-000035000000}"/>
    <cellStyle name="60% - Accent1 3" xfId="33" xr:uid="{00000000-0005-0000-0000-000036000000}"/>
    <cellStyle name="60% - Accent2 2" xfId="34" xr:uid="{00000000-0005-0000-0000-000037000000}"/>
    <cellStyle name="60% - Accent2 2 2" xfId="967" xr:uid="{00000000-0005-0000-0000-000038000000}"/>
    <cellStyle name="60% - Accent2 2 3" xfId="968" xr:uid="{00000000-0005-0000-0000-000039000000}"/>
    <cellStyle name="60% - Accent2 3" xfId="35" xr:uid="{00000000-0005-0000-0000-00003A000000}"/>
    <cellStyle name="60% - Accent3 2" xfId="36" xr:uid="{00000000-0005-0000-0000-00003B000000}"/>
    <cellStyle name="60% - Accent3 2 2" xfId="969" xr:uid="{00000000-0005-0000-0000-00003C000000}"/>
    <cellStyle name="60% - Accent3 2 3" xfId="970" xr:uid="{00000000-0005-0000-0000-00003D000000}"/>
    <cellStyle name="60% - Accent3 3" xfId="37" xr:uid="{00000000-0005-0000-0000-00003E000000}"/>
    <cellStyle name="60% - Accent4 2" xfId="38" xr:uid="{00000000-0005-0000-0000-00003F000000}"/>
    <cellStyle name="60% - Accent4 2 2" xfId="971" xr:uid="{00000000-0005-0000-0000-000040000000}"/>
    <cellStyle name="60% - Accent4 2 3" xfId="972" xr:uid="{00000000-0005-0000-0000-000041000000}"/>
    <cellStyle name="60% - Accent4 3" xfId="39" xr:uid="{00000000-0005-0000-0000-000042000000}"/>
    <cellStyle name="60% - Accent5 2" xfId="40" xr:uid="{00000000-0005-0000-0000-000043000000}"/>
    <cellStyle name="60% - Accent5 2 2" xfId="973" xr:uid="{00000000-0005-0000-0000-000044000000}"/>
    <cellStyle name="60% - Accent5 2 3" xfId="974" xr:uid="{00000000-0005-0000-0000-000045000000}"/>
    <cellStyle name="60% - Accent5 3" xfId="41" xr:uid="{00000000-0005-0000-0000-000046000000}"/>
    <cellStyle name="60% - Accent6 2" xfId="42" xr:uid="{00000000-0005-0000-0000-000047000000}"/>
    <cellStyle name="60% - Accent6 2 2" xfId="975" xr:uid="{00000000-0005-0000-0000-000048000000}"/>
    <cellStyle name="60% - Accent6 2 3" xfId="976" xr:uid="{00000000-0005-0000-0000-000049000000}"/>
    <cellStyle name="60% - Accent6 3" xfId="43" xr:uid="{00000000-0005-0000-0000-00004A000000}"/>
    <cellStyle name="Accent1 2" xfId="44" xr:uid="{00000000-0005-0000-0000-00004B000000}"/>
    <cellStyle name="Accent1 2 2" xfId="977" xr:uid="{00000000-0005-0000-0000-00004C000000}"/>
    <cellStyle name="Accent1 2 3" xfId="978" xr:uid="{00000000-0005-0000-0000-00004D000000}"/>
    <cellStyle name="Accent1 3" xfId="45" xr:uid="{00000000-0005-0000-0000-00004E000000}"/>
    <cellStyle name="Accent2 2" xfId="46" xr:uid="{00000000-0005-0000-0000-00004F000000}"/>
    <cellStyle name="Accent2 2 2" xfId="979" xr:uid="{00000000-0005-0000-0000-000050000000}"/>
    <cellStyle name="Accent2 2 3" xfId="980" xr:uid="{00000000-0005-0000-0000-000051000000}"/>
    <cellStyle name="Accent2 3" xfId="47" xr:uid="{00000000-0005-0000-0000-000052000000}"/>
    <cellStyle name="Accent3 2" xfId="48" xr:uid="{00000000-0005-0000-0000-000053000000}"/>
    <cellStyle name="Accent3 2 2" xfId="981" xr:uid="{00000000-0005-0000-0000-000054000000}"/>
    <cellStyle name="Accent3 2 3" xfId="982" xr:uid="{00000000-0005-0000-0000-000055000000}"/>
    <cellStyle name="Accent3 3" xfId="49" xr:uid="{00000000-0005-0000-0000-000056000000}"/>
    <cellStyle name="Accent4 2" xfId="50" xr:uid="{00000000-0005-0000-0000-000057000000}"/>
    <cellStyle name="Accent4 2 2" xfId="983" xr:uid="{00000000-0005-0000-0000-000058000000}"/>
    <cellStyle name="Accent4 2 3" xfId="984" xr:uid="{00000000-0005-0000-0000-000059000000}"/>
    <cellStyle name="Accent4 3" xfId="51" xr:uid="{00000000-0005-0000-0000-00005A000000}"/>
    <cellStyle name="Accent5 2" xfId="52" xr:uid="{00000000-0005-0000-0000-00005B000000}"/>
    <cellStyle name="Accent5 3" xfId="53" xr:uid="{00000000-0005-0000-0000-00005C000000}"/>
    <cellStyle name="Accent6 2" xfId="54" xr:uid="{00000000-0005-0000-0000-00005D000000}"/>
    <cellStyle name="Accent6 2 2" xfId="985" xr:uid="{00000000-0005-0000-0000-00005E000000}"/>
    <cellStyle name="Accent6 2 3" xfId="986" xr:uid="{00000000-0005-0000-0000-00005F000000}"/>
    <cellStyle name="Accent6 3" xfId="55" xr:uid="{00000000-0005-0000-0000-000060000000}"/>
    <cellStyle name="Bad 2" xfId="56" xr:uid="{00000000-0005-0000-0000-000061000000}"/>
    <cellStyle name="Bad 2 2" xfId="987" xr:uid="{00000000-0005-0000-0000-000062000000}"/>
    <cellStyle name="Bad 2 3" xfId="988" xr:uid="{00000000-0005-0000-0000-000063000000}"/>
    <cellStyle name="Bad 3" xfId="57" xr:uid="{00000000-0005-0000-0000-000064000000}"/>
    <cellStyle name="Calculation 2" xfId="58" xr:uid="{00000000-0005-0000-0000-000065000000}"/>
    <cellStyle name="Calculation 2 10" xfId="1318" xr:uid="{00000000-0005-0000-0000-000066000000}"/>
    <cellStyle name="Calculation 2 11" xfId="1431" xr:uid="{00000000-0005-0000-0000-000067000000}"/>
    <cellStyle name="Calculation 2 2" xfId="59" xr:uid="{00000000-0005-0000-0000-000068000000}"/>
    <cellStyle name="Calculation 2 2 2" xfId="255" xr:uid="{00000000-0005-0000-0000-000069000000}"/>
    <cellStyle name="Calculation 2 2 2 2" xfId="372" xr:uid="{00000000-0005-0000-0000-00006A000000}"/>
    <cellStyle name="Calculation 2 2 2 2 2" xfId="732" xr:uid="{00000000-0005-0000-0000-00006B000000}"/>
    <cellStyle name="Calculation 2 2 2 2 2 2" xfId="989" xr:uid="{00000000-0005-0000-0000-00006C000000}"/>
    <cellStyle name="Calculation 2 2 2 2 3" xfId="990" xr:uid="{00000000-0005-0000-0000-00006D000000}"/>
    <cellStyle name="Calculation 2 2 2 2 4" xfId="1321" xr:uid="{00000000-0005-0000-0000-00006E000000}"/>
    <cellStyle name="Calculation 2 2 2 2 5" xfId="1428" xr:uid="{00000000-0005-0000-0000-00006F000000}"/>
    <cellStyle name="Calculation 2 2 2 3" xfId="453" xr:uid="{00000000-0005-0000-0000-000070000000}"/>
    <cellStyle name="Calculation 2 2 2 3 2" xfId="813" xr:uid="{00000000-0005-0000-0000-000071000000}"/>
    <cellStyle name="Calculation 2 2 2 4" xfId="534" xr:uid="{00000000-0005-0000-0000-000072000000}"/>
    <cellStyle name="Calculation 2 2 2 4 2" xfId="894" xr:uid="{00000000-0005-0000-0000-000073000000}"/>
    <cellStyle name="Calculation 2 2 2 5" xfId="615" xr:uid="{00000000-0005-0000-0000-000074000000}"/>
    <cellStyle name="Calculation 2 2 2 6" xfId="1320" xr:uid="{00000000-0005-0000-0000-000075000000}"/>
    <cellStyle name="Calculation 2 2 2 7" xfId="1429" xr:uid="{00000000-0005-0000-0000-000076000000}"/>
    <cellStyle name="Calculation 2 2 3" xfId="256" xr:uid="{00000000-0005-0000-0000-000077000000}"/>
    <cellStyle name="Calculation 2 2 3 2" xfId="414" xr:uid="{00000000-0005-0000-0000-000078000000}"/>
    <cellStyle name="Calculation 2 2 3 2 2" xfId="774" xr:uid="{00000000-0005-0000-0000-000079000000}"/>
    <cellStyle name="Calculation 2 2 3 2 2 2" xfId="991" xr:uid="{00000000-0005-0000-0000-00007A000000}"/>
    <cellStyle name="Calculation 2 2 3 2 3" xfId="992" xr:uid="{00000000-0005-0000-0000-00007B000000}"/>
    <cellStyle name="Calculation 2 2 3 2 4" xfId="1323" xr:uid="{00000000-0005-0000-0000-00007C000000}"/>
    <cellStyle name="Calculation 2 2 3 2 5" xfId="1426" xr:uid="{00000000-0005-0000-0000-00007D000000}"/>
    <cellStyle name="Calculation 2 2 3 3" xfId="495" xr:uid="{00000000-0005-0000-0000-00007E000000}"/>
    <cellStyle name="Calculation 2 2 3 3 2" xfId="855" xr:uid="{00000000-0005-0000-0000-00007F000000}"/>
    <cellStyle name="Calculation 2 2 3 4" xfId="576" xr:uid="{00000000-0005-0000-0000-000080000000}"/>
    <cellStyle name="Calculation 2 2 3 4 2" xfId="936" xr:uid="{00000000-0005-0000-0000-000081000000}"/>
    <cellStyle name="Calculation 2 2 3 5" xfId="616" xr:uid="{00000000-0005-0000-0000-000082000000}"/>
    <cellStyle name="Calculation 2 2 3 6" xfId="1322" xr:uid="{00000000-0005-0000-0000-000083000000}"/>
    <cellStyle name="Calculation 2 2 3 7" xfId="1427" xr:uid="{00000000-0005-0000-0000-000084000000}"/>
    <cellStyle name="Calculation 2 2 4" xfId="354" xr:uid="{00000000-0005-0000-0000-000085000000}"/>
    <cellStyle name="Calculation 2 2 4 2" xfId="714" xr:uid="{00000000-0005-0000-0000-000086000000}"/>
    <cellStyle name="Calculation 2 2 4 2 2" xfId="993" xr:uid="{00000000-0005-0000-0000-000087000000}"/>
    <cellStyle name="Calculation 2 2 4 3" xfId="994" xr:uid="{00000000-0005-0000-0000-000088000000}"/>
    <cellStyle name="Calculation 2 2 4 4" xfId="1324" xr:uid="{00000000-0005-0000-0000-000089000000}"/>
    <cellStyle name="Calculation 2 2 4 5" xfId="1425" xr:uid="{00000000-0005-0000-0000-00008A000000}"/>
    <cellStyle name="Calculation 2 2 5" xfId="435" xr:uid="{00000000-0005-0000-0000-00008B000000}"/>
    <cellStyle name="Calculation 2 2 5 2" xfId="795" xr:uid="{00000000-0005-0000-0000-00008C000000}"/>
    <cellStyle name="Calculation 2 2 6" xfId="516" xr:uid="{00000000-0005-0000-0000-00008D000000}"/>
    <cellStyle name="Calculation 2 2 6 2" xfId="876" xr:uid="{00000000-0005-0000-0000-00008E000000}"/>
    <cellStyle name="Calculation 2 2 7" xfId="586" xr:uid="{00000000-0005-0000-0000-00008F000000}"/>
    <cellStyle name="Calculation 2 2 8" xfId="1319" xr:uid="{00000000-0005-0000-0000-000090000000}"/>
    <cellStyle name="Calculation 2 2 9" xfId="1430" xr:uid="{00000000-0005-0000-0000-000091000000}"/>
    <cellStyle name="Calculation 2 3" xfId="60" xr:uid="{00000000-0005-0000-0000-000092000000}"/>
    <cellStyle name="Calculation 2 3 2" xfId="257" xr:uid="{00000000-0005-0000-0000-000093000000}"/>
    <cellStyle name="Calculation 2 3 2 2" xfId="383" xr:uid="{00000000-0005-0000-0000-000094000000}"/>
    <cellStyle name="Calculation 2 3 2 2 2" xfId="743" xr:uid="{00000000-0005-0000-0000-000095000000}"/>
    <cellStyle name="Calculation 2 3 2 2 2 2" xfId="995" xr:uid="{00000000-0005-0000-0000-000096000000}"/>
    <cellStyle name="Calculation 2 3 2 2 3" xfId="996" xr:uid="{00000000-0005-0000-0000-000097000000}"/>
    <cellStyle name="Calculation 2 3 2 2 4" xfId="1327" xr:uid="{00000000-0005-0000-0000-000098000000}"/>
    <cellStyle name="Calculation 2 3 2 2 5" xfId="1422" xr:uid="{00000000-0005-0000-0000-000099000000}"/>
    <cellStyle name="Calculation 2 3 2 3" xfId="464" xr:uid="{00000000-0005-0000-0000-00009A000000}"/>
    <cellStyle name="Calculation 2 3 2 3 2" xfId="824" xr:uid="{00000000-0005-0000-0000-00009B000000}"/>
    <cellStyle name="Calculation 2 3 2 4" xfId="545" xr:uid="{00000000-0005-0000-0000-00009C000000}"/>
    <cellStyle name="Calculation 2 3 2 4 2" xfId="905" xr:uid="{00000000-0005-0000-0000-00009D000000}"/>
    <cellStyle name="Calculation 2 3 2 5" xfId="617" xr:uid="{00000000-0005-0000-0000-00009E000000}"/>
    <cellStyle name="Calculation 2 3 2 6" xfId="1326" xr:uid="{00000000-0005-0000-0000-00009F000000}"/>
    <cellStyle name="Calculation 2 3 2 7" xfId="1423" xr:uid="{00000000-0005-0000-0000-0000A0000000}"/>
    <cellStyle name="Calculation 2 3 3" xfId="258" xr:uid="{00000000-0005-0000-0000-0000A1000000}"/>
    <cellStyle name="Calculation 2 3 3 2" xfId="403" xr:uid="{00000000-0005-0000-0000-0000A2000000}"/>
    <cellStyle name="Calculation 2 3 3 2 2" xfId="763" xr:uid="{00000000-0005-0000-0000-0000A3000000}"/>
    <cellStyle name="Calculation 2 3 3 2 2 2" xfId="997" xr:uid="{00000000-0005-0000-0000-0000A4000000}"/>
    <cellStyle name="Calculation 2 3 3 2 3" xfId="998" xr:uid="{00000000-0005-0000-0000-0000A5000000}"/>
    <cellStyle name="Calculation 2 3 3 2 4" xfId="1329" xr:uid="{00000000-0005-0000-0000-0000A6000000}"/>
    <cellStyle name="Calculation 2 3 3 2 5" xfId="1420" xr:uid="{00000000-0005-0000-0000-0000A7000000}"/>
    <cellStyle name="Calculation 2 3 3 3" xfId="484" xr:uid="{00000000-0005-0000-0000-0000A8000000}"/>
    <cellStyle name="Calculation 2 3 3 3 2" xfId="844" xr:uid="{00000000-0005-0000-0000-0000A9000000}"/>
    <cellStyle name="Calculation 2 3 3 4" xfId="565" xr:uid="{00000000-0005-0000-0000-0000AA000000}"/>
    <cellStyle name="Calculation 2 3 3 4 2" xfId="925" xr:uid="{00000000-0005-0000-0000-0000AB000000}"/>
    <cellStyle name="Calculation 2 3 3 5" xfId="618" xr:uid="{00000000-0005-0000-0000-0000AC000000}"/>
    <cellStyle name="Calculation 2 3 3 6" xfId="1328" xr:uid="{00000000-0005-0000-0000-0000AD000000}"/>
    <cellStyle name="Calculation 2 3 3 7" xfId="1421" xr:uid="{00000000-0005-0000-0000-0000AE000000}"/>
    <cellStyle name="Calculation 2 3 4" xfId="343" xr:uid="{00000000-0005-0000-0000-0000AF000000}"/>
    <cellStyle name="Calculation 2 3 4 2" xfId="703" xr:uid="{00000000-0005-0000-0000-0000B0000000}"/>
    <cellStyle name="Calculation 2 3 4 2 2" xfId="999" xr:uid="{00000000-0005-0000-0000-0000B1000000}"/>
    <cellStyle name="Calculation 2 3 4 3" xfId="1000" xr:uid="{00000000-0005-0000-0000-0000B2000000}"/>
    <cellStyle name="Calculation 2 3 4 4" xfId="1330" xr:uid="{00000000-0005-0000-0000-0000B3000000}"/>
    <cellStyle name="Calculation 2 3 4 5" xfId="1419" xr:uid="{00000000-0005-0000-0000-0000B4000000}"/>
    <cellStyle name="Calculation 2 3 5" xfId="424" xr:uid="{00000000-0005-0000-0000-0000B5000000}"/>
    <cellStyle name="Calculation 2 3 5 2" xfId="784" xr:uid="{00000000-0005-0000-0000-0000B6000000}"/>
    <cellStyle name="Calculation 2 3 6" xfId="505" xr:uid="{00000000-0005-0000-0000-0000B7000000}"/>
    <cellStyle name="Calculation 2 3 6 2" xfId="865" xr:uid="{00000000-0005-0000-0000-0000B8000000}"/>
    <cellStyle name="Calculation 2 3 7" xfId="587" xr:uid="{00000000-0005-0000-0000-0000B9000000}"/>
    <cellStyle name="Calculation 2 3 8" xfId="1325" xr:uid="{00000000-0005-0000-0000-0000BA000000}"/>
    <cellStyle name="Calculation 2 3 9" xfId="1424" xr:uid="{00000000-0005-0000-0000-0000BB000000}"/>
    <cellStyle name="Calculation 2 4" xfId="259" xr:uid="{00000000-0005-0000-0000-0000BC000000}"/>
    <cellStyle name="Calculation 2 4 2" xfId="394" xr:uid="{00000000-0005-0000-0000-0000BD000000}"/>
    <cellStyle name="Calculation 2 4 2 2" xfId="754" xr:uid="{00000000-0005-0000-0000-0000BE000000}"/>
    <cellStyle name="Calculation 2 4 2 2 2" xfId="1001" xr:uid="{00000000-0005-0000-0000-0000BF000000}"/>
    <cellStyle name="Calculation 2 4 2 3" xfId="1002" xr:uid="{00000000-0005-0000-0000-0000C0000000}"/>
    <cellStyle name="Calculation 2 4 2 4" xfId="1332" xr:uid="{00000000-0005-0000-0000-0000C1000000}"/>
    <cellStyle name="Calculation 2 4 2 5" xfId="1417" xr:uid="{00000000-0005-0000-0000-0000C2000000}"/>
    <cellStyle name="Calculation 2 4 3" xfId="475" xr:uid="{00000000-0005-0000-0000-0000C3000000}"/>
    <cellStyle name="Calculation 2 4 3 2" xfId="835" xr:uid="{00000000-0005-0000-0000-0000C4000000}"/>
    <cellStyle name="Calculation 2 4 4" xfId="556" xr:uid="{00000000-0005-0000-0000-0000C5000000}"/>
    <cellStyle name="Calculation 2 4 4 2" xfId="916" xr:uid="{00000000-0005-0000-0000-0000C6000000}"/>
    <cellStyle name="Calculation 2 4 5" xfId="619" xr:uid="{00000000-0005-0000-0000-0000C7000000}"/>
    <cellStyle name="Calculation 2 4 6" xfId="1331" xr:uid="{00000000-0005-0000-0000-0000C8000000}"/>
    <cellStyle name="Calculation 2 4 7" xfId="1418" xr:uid="{00000000-0005-0000-0000-0000C9000000}"/>
    <cellStyle name="Calculation 2 5" xfId="260" xr:uid="{00000000-0005-0000-0000-0000CA000000}"/>
    <cellStyle name="Calculation 2 5 2" xfId="388" xr:uid="{00000000-0005-0000-0000-0000CB000000}"/>
    <cellStyle name="Calculation 2 5 2 2" xfId="748" xr:uid="{00000000-0005-0000-0000-0000CC000000}"/>
    <cellStyle name="Calculation 2 5 2 2 2" xfId="1003" xr:uid="{00000000-0005-0000-0000-0000CD000000}"/>
    <cellStyle name="Calculation 2 5 2 3" xfId="1004" xr:uid="{00000000-0005-0000-0000-0000CE000000}"/>
    <cellStyle name="Calculation 2 5 2 4" xfId="1334" xr:uid="{00000000-0005-0000-0000-0000CF000000}"/>
    <cellStyle name="Calculation 2 5 2 5" xfId="1415" xr:uid="{00000000-0005-0000-0000-0000D0000000}"/>
    <cellStyle name="Calculation 2 5 3" xfId="469" xr:uid="{00000000-0005-0000-0000-0000D1000000}"/>
    <cellStyle name="Calculation 2 5 3 2" xfId="829" xr:uid="{00000000-0005-0000-0000-0000D2000000}"/>
    <cellStyle name="Calculation 2 5 4" xfId="550" xr:uid="{00000000-0005-0000-0000-0000D3000000}"/>
    <cellStyle name="Calculation 2 5 4 2" xfId="910" xr:uid="{00000000-0005-0000-0000-0000D4000000}"/>
    <cellStyle name="Calculation 2 5 5" xfId="620" xr:uid="{00000000-0005-0000-0000-0000D5000000}"/>
    <cellStyle name="Calculation 2 5 6" xfId="1333" xr:uid="{00000000-0005-0000-0000-0000D6000000}"/>
    <cellStyle name="Calculation 2 5 7" xfId="1416" xr:uid="{00000000-0005-0000-0000-0000D7000000}"/>
    <cellStyle name="Calculation 2 6" xfId="320" xr:uid="{00000000-0005-0000-0000-0000D8000000}"/>
    <cellStyle name="Calculation 2 6 2" xfId="680" xr:uid="{00000000-0005-0000-0000-0000D9000000}"/>
    <cellStyle name="Calculation 2 6 2 2" xfId="1005" xr:uid="{00000000-0005-0000-0000-0000DA000000}"/>
    <cellStyle name="Calculation 2 6 3" xfId="1006" xr:uid="{00000000-0005-0000-0000-0000DB000000}"/>
    <cellStyle name="Calculation 2 6 4" xfId="1335" xr:uid="{00000000-0005-0000-0000-0000DC000000}"/>
    <cellStyle name="Calculation 2 6 5" xfId="1414" xr:uid="{00000000-0005-0000-0000-0000DD000000}"/>
    <cellStyle name="Calculation 2 7" xfId="331" xr:uid="{00000000-0005-0000-0000-0000DE000000}"/>
    <cellStyle name="Calculation 2 7 2" xfId="691" xr:uid="{00000000-0005-0000-0000-0000DF000000}"/>
    <cellStyle name="Calculation 2 7 2 2" xfId="1007" xr:uid="{00000000-0005-0000-0000-0000E0000000}"/>
    <cellStyle name="Calculation 2 7 3" xfId="1008" xr:uid="{00000000-0005-0000-0000-0000E1000000}"/>
    <cellStyle name="Calculation 2 8" xfId="322" xr:uid="{00000000-0005-0000-0000-0000E2000000}"/>
    <cellStyle name="Calculation 2 8 2" xfId="682" xr:uid="{00000000-0005-0000-0000-0000E3000000}"/>
    <cellStyle name="Calculation 2 9" xfId="585" xr:uid="{00000000-0005-0000-0000-0000E4000000}"/>
    <cellStyle name="Calculation 3" xfId="61" xr:uid="{00000000-0005-0000-0000-0000E5000000}"/>
    <cellStyle name="Calculation 3 10" xfId="1336" xr:uid="{00000000-0005-0000-0000-0000E6000000}"/>
    <cellStyle name="Calculation 3 11" xfId="1413" xr:uid="{00000000-0005-0000-0000-0000E7000000}"/>
    <cellStyle name="Calculation 3 2" xfId="62" xr:uid="{00000000-0005-0000-0000-0000E8000000}"/>
    <cellStyle name="Calculation 3 2 2" xfId="261" xr:uid="{00000000-0005-0000-0000-0000E9000000}"/>
    <cellStyle name="Calculation 3 2 2 2" xfId="373" xr:uid="{00000000-0005-0000-0000-0000EA000000}"/>
    <cellStyle name="Calculation 3 2 2 2 2" xfId="733" xr:uid="{00000000-0005-0000-0000-0000EB000000}"/>
    <cellStyle name="Calculation 3 2 2 2 2 2" xfId="1009" xr:uid="{00000000-0005-0000-0000-0000EC000000}"/>
    <cellStyle name="Calculation 3 2 2 2 3" xfId="1010" xr:uid="{00000000-0005-0000-0000-0000ED000000}"/>
    <cellStyle name="Calculation 3 2 2 2 4" xfId="1339" xr:uid="{00000000-0005-0000-0000-0000EE000000}"/>
    <cellStyle name="Calculation 3 2 2 2 5" xfId="1410" xr:uid="{00000000-0005-0000-0000-0000EF000000}"/>
    <cellStyle name="Calculation 3 2 2 3" xfId="454" xr:uid="{00000000-0005-0000-0000-0000F0000000}"/>
    <cellStyle name="Calculation 3 2 2 3 2" xfId="814" xr:uid="{00000000-0005-0000-0000-0000F1000000}"/>
    <cellStyle name="Calculation 3 2 2 4" xfId="535" xr:uid="{00000000-0005-0000-0000-0000F2000000}"/>
    <cellStyle name="Calculation 3 2 2 4 2" xfId="895" xr:uid="{00000000-0005-0000-0000-0000F3000000}"/>
    <cellStyle name="Calculation 3 2 2 5" xfId="621" xr:uid="{00000000-0005-0000-0000-0000F4000000}"/>
    <cellStyle name="Calculation 3 2 2 6" xfId="1338" xr:uid="{00000000-0005-0000-0000-0000F5000000}"/>
    <cellStyle name="Calculation 3 2 2 7" xfId="1411" xr:uid="{00000000-0005-0000-0000-0000F6000000}"/>
    <cellStyle name="Calculation 3 2 3" xfId="262" xr:uid="{00000000-0005-0000-0000-0000F7000000}"/>
    <cellStyle name="Calculation 3 2 3 2" xfId="413" xr:uid="{00000000-0005-0000-0000-0000F8000000}"/>
    <cellStyle name="Calculation 3 2 3 2 2" xfId="773" xr:uid="{00000000-0005-0000-0000-0000F9000000}"/>
    <cellStyle name="Calculation 3 2 3 2 2 2" xfId="1011" xr:uid="{00000000-0005-0000-0000-0000FA000000}"/>
    <cellStyle name="Calculation 3 2 3 2 3" xfId="1012" xr:uid="{00000000-0005-0000-0000-0000FB000000}"/>
    <cellStyle name="Calculation 3 2 3 2 4" xfId="1341" xr:uid="{00000000-0005-0000-0000-0000FC000000}"/>
    <cellStyle name="Calculation 3 2 3 2 5" xfId="1408" xr:uid="{00000000-0005-0000-0000-0000FD000000}"/>
    <cellStyle name="Calculation 3 2 3 3" xfId="494" xr:uid="{00000000-0005-0000-0000-0000FE000000}"/>
    <cellStyle name="Calculation 3 2 3 3 2" xfId="854" xr:uid="{00000000-0005-0000-0000-0000FF000000}"/>
    <cellStyle name="Calculation 3 2 3 4" xfId="575" xr:uid="{00000000-0005-0000-0000-000000010000}"/>
    <cellStyle name="Calculation 3 2 3 4 2" xfId="935" xr:uid="{00000000-0005-0000-0000-000001010000}"/>
    <cellStyle name="Calculation 3 2 3 5" xfId="622" xr:uid="{00000000-0005-0000-0000-000002010000}"/>
    <cellStyle name="Calculation 3 2 3 6" xfId="1340" xr:uid="{00000000-0005-0000-0000-000003010000}"/>
    <cellStyle name="Calculation 3 2 3 7" xfId="1409" xr:uid="{00000000-0005-0000-0000-000004010000}"/>
    <cellStyle name="Calculation 3 2 4" xfId="353" xr:uid="{00000000-0005-0000-0000-000005010000}"/>
    <cellStyle name="Calculation 3 2 4 2" xfId="713" xr:uid="{00000000-0005-0000-0000-000006010000}"/>
    <cellStyle name="Calculation 3 2 4 2 2" xfId="1013" xr:uid="{00000000-0005-0000-0000-000007010000}"/>
    <cellStyle name="Calculation 3 2 4 3" xfId="1014" xr:uid="{00000000-0005-0000-0000-000008010000}"/>
    <cellStyle name="Calculation 3 2 4 4" xfId="1342" xr:uid="{00000000-0005-0000-0000-000009010000}"/>
    <cellStyle name="Calculation 3 2 4 5" xfId="1407" xr:uid="{00000000-0005-0000-0000-00000A010000}"/>
    <cellStyle name="Calculation 3 2 5" xfId="434" xr:uid="{00000000-0005-0000-0000-00000B010000}"/>
    <cellStyle name="Calculation 3 2 5 2" xfId="794" xr:uid="{00000000-0005-0000-0000-00000C010000}"/>
    <cellStyle name="Calculation 3 2 6" xfId="515" xr:uid="{00000000-0005-0000-0000-00000D010000}"/>
    <cellStyle name="Calculation 3 2 6 2" xfId="875" xr:uid="{00000000-0005-0000-0000-00000E010000}"/>
    <cellStyle name="Calculation 3 2 7" xfId="589" xr:uid="{00000000-0005-0000-0000-00000F010000}"/>
    <cellStyle name="Calculation 3 2 8" xfId="1337" xr:uid="{00000000-0005-0000-0000-000010010000}"/>
    <cellStyle name="Calculation 3 2 9" xfId="1412" xr:uid="{00000000-0005-0000-0000-000011010000}"/>
    <cellStyle name="Calculation 3 3" xfId="63" xr:uid="{00000000-0005-0000-0000-000012010000}"/>
    <cellStyle name="Calculation 3 3 2" xfId="263" xr:uid="{00000000-0005-0000-0000-000013010000}"/>
    <cellStyle name="Calculation 3 3 2 2" xfId="382" xr:uid="{00000000-0005-0000-0000-000014010000}"/>
    <cellStyle name="Calculation 3 3 2 2 2" xfId="742" xr:uid="{00000000-0005-0000-0000-000015010000}"/>
    <cellStyle name="Calculation 3 3 2 2 2 2" xfId="1015" xr:uid="{00000000-0005-0000-0000-000016010000}"/>
    <cellStyle name="Calculation 3 3 2 2 3" xfId="1016" xr:uid="{00000000-0005-0000-0000-000017010000}"/>
    <cellStyle name="Calculation 3 3 2 2 4" xfId="1345" xr:uid="{00000000-0005-0000-0000-000018010000}"/>
    <cellStyle name="Calculation 3 3 2 2 5" xfId="1404" xr:uid="{00000000-0005-0000-0000-000019010000}"/>
    <cellStyle name="Calculation 3 3 2 3" xfId="463" xr:uid="{00000000-0005-0000-0000-00001A010000}"/>
    <cellStyle name="Calculation 3 3 2 3 2" xfId="823" xr:uid="{00000000-0005-0000-0000-00001B010000}"/>
    <cellStyle name="Calculation 3 3 2 4" xfId="544" xr:uid="{00000000-0005-0000-0000-00001C010000}"/>
    <cellStyle name="Calculation 3 3 2 4 2" xfId="904" xr:uid="{00000000-0005-0000-0000-00001D010000}"/>
    <cellStyle name="Calculation 3 3 2 5" xfId="623" xr:uid="{00000000-0005-0000-0000-00001E010000}"/>
    <cellStyle name="Calculation 3 3 2 6" xfId="1344" xr:uid="{00000000-0005-0000-0000-00001F010000}"/>
    <cellStyle name="Calculation 3 3 2 7" xfId="1405" xr:uid="{00000000-0005-0000-0000-000020010000}"/>
    <cellStyle name="Calculation 3 3 3" xfId="264" xr:uid="{00000000-0005-0000-0000-000021010000}"/>
    <cellStyle name="Calculation 3 3 3 2" xfId="404" xr:uid="{00000000-0005-0000-0000-000022010000}"/>
    <cellStyle name="Calculation 3 3 3 2 2" xfId="764" xr:uid="{00000000-0005-0000-0000-000023010000}"/>
    <cellStyle name="Calculation 3 3 3 2 2 2" xfId="1017" xr:uid="{00000000-0005-0000-0000-000024010000}"/>
    <cellStyle name="Calculation 3 3 3 2 3" xfId="1018" xr:uid="{00000000-0005-0000-0000-000025010000}"/>
    <cellStyle name="Calculation 3 3 3 2 4" xfId="1347" xr:uid="{00000000-0005-0000-0000-000026010000}"/>
    <cellStyle name="Calculation 3 3 3 2 5" xfId="1402" xr:uid="{00000000-0005-0000-0000-000027010000}"/>
    <cellStyle name="Calculation 3 3 3 3" xfId="485" xr:uid="{00000000-0005-0000-0000-000028010000}"/>
    <cellStyle name="Calculation 3 3 3 3 2" xfId="845" xr:uid="{00000000-0005-0000-0000-000029010000}"/>
    <cellStyle name="Calculation 3 3 3 4" xfId="566" xr:uid="{00000000-0005-0000-0000-00002A010000}"/>
    <cellStyle name="Calculation 3 3 3 4 2" xfId="926" xr:uid="{00000000-0005-0000-0000-00002B010000}"/>
    <cellStyle name="Calculation 3 3 3 5" xfId="624" xr:uid="{00000000-0005-0000-0000-00002C010000}"/>
    <cellStyle name="Calculation 3 3 3 6" xfId="1346" xr:uid="{00000000-0005-0000-0000-00002D010000}"/>
    <cellStyle name="Calculation 3 3 3 7" xfId="1403" xr:uid="{00000000-0005-0000-0000-00002E010000}"/>
    <cellStyle name="Calculation 3 3 4" xfId="344" xr:uid="{00000000-0005-0000-0000-00002F010000}"/>
    <cellStyle name="Calculation 3 3 4 2" xfId="704" xr:uid="{00000000-0005-0000-0000-000030010000}"/>
    <cellStyle name="Calculation 3 3 4 2 2" xfId="1019" xr:uid="{00000000-0005-0000-0000-000031010000}"/>
    <cellStyle name="Calculation 3 3 4 3" xfId="1020" xr:uid="{00000000-0005-0000-0000-000032010000}"/>
    <cellStyle name="Calculation 3 3 4 4" xfId="1348" xr:uid="{00000000-0005-0000-0000-000033010000}"/>
    <cellStyle name="Calculation 3 3 4 5" xfId="1401" xr:uid="{00000000-0005-0000-0000-000034010000}"/>
    <cellStyle name="Calculation 3 3 5" xfId="425" xr:uid="{00000000-0005-0000-0000-000035010000}"/>
    <cellStyle name="Calculation 3 3 5 2" xfId="785" xr:uid="{00000000-0005-0000-0000-000036010000}"/>
    <cellStyle name="Calculation 3 3 6" xfId="506" xr:uid="{00000000-0005-0000-0000-000037010000}"/>
    <cellStyle name="Calculation 3 3 6 2" xfId="866" xr:uid="{00000000-0005-0000-0000-000038010000}"/>
    <cellStyle name="Calculation 3 3 7" xfId="590" xr:uid="{00000000-0005-0000-0000-000039010000}"/>
    <cellStyle name="Calculation 3 3 8" xfId="1343" xr:uid="{00000000-0005-0000-0000-00003A010000}"/>
    <cellStyle name="Calculation 3 3 9" xfId="1406" xr:uid="{00000000-0005-0000-0000-00003B010000}"/>
    <cellStyle name="Calculation 3 4" xfId="265" xr:uid="{00000000-0005-0000-0000-00003C010000}"/>
    <cellStyle name="Calculation 3 4 2" xfId="393" xr:uid="{00000000-0005-0000-0000-00003D010000}"/>
    <cellStyle name="Calculation 3 4 2 2" xfId="753" xr:uid="{00000000-0005-0000-0000-00003E010000}"/>
    <cellStyle name="Calculation 3 4 2 2 2" xfId="1021" xr:uid="{00000000-0005-0000-0000-00003F010000}"/>
    <cellStyle name="Calculation 3 4 2 3" xfId="1022" xr:uid="{00000000-0005-0000-0000-000040010000}"/>
    <cellStyle name="Calculation 3 4 2 4" xfId="1350" xr:uid="{00000000-0005-0000-0000-000041010000}"/>
    <cellStyle name="Calculation 3 4 2 5" xfId="1288" xr:uid="{00000000-0005-0000-0000-000042010000}"/>
    <cellStyle name="Calculation 3 4 3" xfId="474" xr:uid="{00000000-0005-0000-0000-000043010000}"/>
    <cellStyle name="Calculation 3 4 3 2" xfId="834" xr:uid="{00000000-0005-0000-0000-000044010000}"/>
    <cellStyle name="Calculation 3 4 4" xfId="555" xr:uid="{00000000-0005-0000-0000-000045010000}"/>
    <cellStyle name="Calculation 3 4 4 2" xfId="915" xr:uid="{00000000-0005-0000-0000-000046010000}"/>
    <cellStyle name="Calculation 3 4 5" xfId="625" xr:uid="{00000000-0005-0000-0000-000047010000}"/>
    <cellStyle name="Calculation 3 4 6" xfId="1349" xr:uid="{00000000-0005-0000-0000-000048010000}"/>
    <cellStyle name="Calculation 3 4 7" xfId="1400" xr:uid="{00000000-0005-0000-0000-000049010000}"/>
    <cellStyle name="Calculation 3 5" xfId="266" xr:uid="{00000000-0005-0000-0000-00004A010000}"/>
    <cellStyle name="Calculation 3 5 2" xfId="389" xr:uid="{00000000-0005-0000-0000-00004B010000}"/>
    <cellStyle name="Calculation 3 5 2 2" xfId="749" xr:uid="{00000000-0005-0000-0000-00004C010000}"/>
    <cellStyle name="Calculation 3 5 2 2 2" xfId="1023" xr:uid="{00000000-0005-0000-0000-00004D010000}"/>
    <cellStyle name="Calculation 3 5 2 3" xfId="1024" xr:uid="{00000000-0005-0000-0000-00004E010000}"/>
    <cellStyle name="Calculation 3 5 2 4" xfId="1352" xr:uid="{00000000-0005-0000-0000-00004F010000}"/>
    <cellStyle name="Calculation 3 5 2 5" xfId="1398" xr:uid="{00000000-0005-0000-0000-000050010000}"/>
    <cellStyle name="Calculation 3 5 3" xfId="470" xr:uid="{00000000-0005-0000-0000-000051010000}"/>
    <cellStyle name="Calculation 3 5 3 2" xfId="830" xr:uid="{00000000-0005-0000-0000-000052010000}"/>
    <cellStyle name="Calculation 3 5 4" xfId="551" xr:uid="{00000000-0005-0000-0000-000053010000}"/>
    <cellStyle name="Calculation 3 5 4 2" xfId="911" xr:uid="{00000000-0005-0000-0000-000054010000}"/>
    <cellStyle name="Calculation 3 5 5" xfId="626" xr:uid="{00000000-0005-0000-0000-000055010000}"/>
    <cellStyle name="Calculation 3 5 6" xfId="1351" xr:uid="{00000000-0005-0000-0000-000056010000}"/>
    <cellStyle name="Calculation 3 5 7" xfId="1399" xr:uid="{00000000-0005-0000-0000-000057010000}"/>
    <cellStyle name="Calculation 3 6" xfId="321" xr:uid="{00000000-0005-0000-0000-000058010000}"/>
    <cellStyle name="Calculation 3 6 2" xfId="681" xr:uid="{00000000-0005-0000-0000-000059010000}"/>
    <cellStyle name="Calculation 3 6 2 2" xfId="1025" xr:uid="{00000000-0005-0000-0000-00005A010000}"/>
    <cellStyle name="Calculation 3 6 3" xfId="1026" xr:uid="{00000000-0005-0000-0000-00005B010000}"/>
    <cellStyle name="Calculation 3 6 4" xfId="1353" xr:uid="{00000000-0005-0000-0000-00005C010000}"/>
    <cellStyle name="Calculation 3 6 5" xfId="1397" xr:uid="{00000000-0005-0000-0000-00005D010000}"/>
    <cellStyle name="Calculation 3 7" xfId="330" xr:uid="{00000000-0005-0000-0000-00005E010000}"/>
    <cellStyle name="Calculation 3 7 2" xfId="690" xr:uid="{00000000-0005-0000-0000-00005F010000}"/>
    <cellStyle name="Calculation 3 8" xfId="323" xr:uid="{00000000-0005-0000-0000-000060010000}"/>
    <cellStyle name="Calculation 3 8 2" xfId="683" xr:uid="{00000000-0005-0000-0000-000061010000}"/>
    <cellStyle name="Calculation 3 9" xfId="588" xr:uid="{00000000-0005-0000-0000-000062010000}"/>
    <cellStyle name="Check Cell 2" xfId="64" xr:uid="{00000000-0005-0000-0000-000063010000}"/>
    <cellStyle name="Check Cell 3" xfId="65" xr:uid="{00000000-0005-0000-0000-000064010000}"/>
    <cellStyle name="Comma" xfId="1648" builtinId="3"/>
    <cellStyle name="Comma 2" xfId="66" xr:uid="{00000000-0005-0000-0000-000066010000}"/>
    <cellStyle name="Comma 2 2" xfId="67" xr:uid="{00000000-0005-0000-0000-000067010000}"/>
    <cellStyle name="Comma 2 3" xfId="68" xr:uid="{00000000-0005-0000-0000-000068010000}"/>
    <cellStyle name="Comma 2 4" xfId="69" xr:uid="{00000000-0005-0000-0000-000069010000}"/>
    <cellStyle name="Comma 2 5" xfId="70" xr:uid="{00000000-0005-0000-0000-00006A010000}"/>
    <cellStyle name="Comma 2 6" xfId="71" xr:uid="{00000000-0005-0000-0000-00006B010000}"/>
    <cellStyle name="Comma 2 7" xfId="72" xr:uid="{00000000-0005-0000-0000-00006C010000}"/>
    <cellStyle name="Comma 2 8" xfId="73" xr:uid="{00000000-0005-0000-0000-00006D010000}"/>
    <cellStyle name="Comma 3" xfId="74" xr:uid="{00000000-0005-0000-0000-00006E010000}"/>
    <cellStyle name="Comma 3 2" xfId="75" xr:uid="{00000000-0005-0000-0000-00006F010000}"/>
    <cellStyle name="Comma 3 3" xfId="76" xr:uid="{00000000-0005-0000-0000-000070010000}"/>
    <cellStyle name="Comma 3 4" xfId="77" xr:uid="{00000000-0005-0000-0000-000071010000}"/>
    <cellStyle name="Comma 3 5" xfId="78" xr:uid="{00000000-0005-0000-0000-000072010000}"/>
    <cellStyle name="Comma 3 6" xfId="79" xr:uid="{00000000-0005-0000-0000-000073010000}"/>
    <cellStyle name="Comma 3 7" xfId="80" xr:uid="{00000000-0005-0000-0000-000074010000}"/>
    <cellStyle name="Comma 3 8" xfId="81" xr:uid="{00000000-0005-0000-0000-000075010000}"/>
    <cellStyle name="Comma 4" xfId="82" xr:uid="{00000000-0005-0000-0000-000076010000}"/>
    <cellStyle name="Comma 4 2" xfId="83" xr:uid="{00000000-0005-0000-0000-000077010000}"/>
    <cellStyle name="Comma 4 3" xfId="84" xr:uid="{00000000-0005-0000-0000-000078010000}"/>
    <cellStyle name="Comma 4 4" xfId="85" xr:uid="{00000000-0005-0000-0000-000079010000}"/>
    <cellStyle name="Comma 4 5" xfId="86" xr:uid="{00000000-0005-0000-0000-00007A010000}"/>
    <cellStyle name="Comma 4 6" xfId="87" xr:uid="{00000000-0005-0000-0000-00007B010000}"/>
    <cellStyle name="Comma 4 7" xfId="88" xr:uid="{00000000-0005-0000-0000-00007C010000}"/>
    <cellStyle name="Comma 4 8" xfId="89" xr:uid="{00000000-0005-0000-0000-00007D010000}"/>
    <cellStyle name="Comma 5" xfId="90" xr:uid="{00000000-0005-0000-0000-00007E010000}"/>
    <cellStyle name="Currency" xfId="1649" builtinId="4"/>
    <cellStyle name="Currency 2" xfId="91" xr:uid="{00000000-0005-0000-0000-000080010000}"/>
    <cellStyle name="Currency 2 2" xfId="92" xr:uid="{00000000-0005-0000-0000-000081010000}"/>
    <cellStyle name="Currency 2 3" xfId="93" xr:uid="{00000000-0005-0000-0000-000082010000}"/>
    <cellStyle name="Currency 2 4" xfId="94" xr:uid="{00000000-0005-0000-0000-000083010000}"/>
    <cellStyle name="Currency 2 5" xfId="95" xr:uid="{00000000-0005-0000-0000-000084010000}"/>
    <cellStyle name="Currency 3" xfId="96" xr:uid="{00000000-0005-0000-0000-000085010000}"/>
    <cellStyle name="Currency 3 2" xfId="1027" xr:uid="{00000000-0005-0000-0000-000086010000}"/>
    <cellStyle name="Currency 3 3" xfId="1028" xr:uid="{00000000-0005-0000-0000-000087010000}"/>
    <cellStyle name="Explanatory Text 2" xfId="97" xr:uid="{00000000-0005-0000-0000-000088010000}"/>
    <cellStyle name="Explanatory Text 3" xfId="98" xr:uid="{00000000-0005-0000-0000-000089010000}"/>
    <cellStyle name="Good 2" xfId="99" xr:uid="{00000000-0005-0000-0000-00008A010000}"/>
    <cellStyle name="Good 2 2" xfId="1029" xr:uid="{00000000-0005-0000-0000-00008B010000}"/>
    <cellStyle name="Good 2 3" xfId="1030" xr:uid="{00000000-0005-0000-0000-00008C010000}"/>
    <cellStyle name="Good 3" xfId="100" xr:uid="{00000000-0005-0000-0000-00008D010000}"/>
    <cellStyle name="Heading 1 2" xfId="101" xr:uid="{00000000-0005-0000-0000-00008E010000}"/>
    <cellStyle name="Heading 1 2 2" xfId="1031" xr:uid="{00000000-0005-0000-0000-00008F010000}"/>
    <cellStyle name="Heading 1 2 3" xfId="1032" xr:uid="{00000000-0005-0000-0000-000090010000}"/>
    <cellStyle name="Heading 1 3" xfId="102" xr:uid="{00000000-0005-0000-0000-000091010000}"/>
    <cellStyle name="Heading 2 2" xfId="103" xr:uid="{00000000-0005-0000-0000-000092010000}"/>
    <cellStyle name="Heading 2 2 2" xfId="1033" xr:uid="{00000000-0005-0000-0000-000093010000}"/>
    <cellStyle name="Heading 2 2 3" xfId="1034" xr:uid="{00000000-0005-0000-0000-000094010000}"/>
    <cellStyle name="Heading 2 3" xfId="104" xr:uid="{00000000-0005-0000-0000-000095010000}"/>
    <cellStyle name="Heading 3 2" xfId="105" xr:uid="{00000000-0005-0000-0000-000096010000}"/>
    <cellStyle name="Heading 3 2 2" xfId="106" xr:uid="{00000000-0005-0000-0000-000097010000}"/>
    <cellStyle name="Heading 3 2 2 2" xfId="1035" xr:uid="{00000000-0005-0000-0000-000098010000}"/>
    <cellStyle name="Heading 3 2 2 2 2" xfId="1036" xr:uid="{00000000-0005-0000-0000-000099010000}"/>
    <cellStyle name="Heading 3 2 2 2 2 2" xfId="1037" xr:uid="{00000000-0005-0000-0000-00009A010000}"/>
    <cellStyle name="Heading 3 2 2 2 2 3" xfId="1038" xr:uid="{00000000-0005-0000-0000-00009B010000}"/>
    <cellStyle name="Heading 3 2 2 2 3" xfId="1039" xr:uid="{00000000-0005-0000-0000-00009C010000}"/>
    <cellStyle name="Heading 3 2 2 2 4" xfId="1040" xr:uid="{00000000-0005-0000-0000-00009D010000}"/>
    <cellStyle name="Heading 3 2 2 3" xfId="1041" xr:uid="{00000000-0005-0000-0000-00009E010000}"/>
    <cellStyle name="Heading 3 2 2 3 2" xfId="1042" xr:uid="{00000000-0005-0000-0000-00009F010000}"/>
    <cellStyle name="Heading 3 2 2 3 3" xfId="1043" xr:uid="{00000000-0005-0000-0000-0000A0010000}"/>
    <cellStyle name="Heading 3 2 2 4" xfId="1044" xr:uid="{00000000-0005-0000-0000-0000A1010000}"/>
    <cellStyle name="Heading 3 2 2 5" xfId="1045" xr:uid="{00000000-0005-0000-0000-0000A2010000}"/>
    <cellStyle name="Heading 3 2 3" xfId="107" xr:uid="{00000000-0005-0000-0000-0000A3010000}"/>
    <cellStyle name="Heading 3 2 3 2" xfId="1046" xr:uid="{00000000-0005-0000-0000-0000A4010000}"/>
    <cellStyle name="Heading 3 2 3 2 2" xfId="1047" xr:uid="{00000000-0005-0000-0000-0000A5010000}"/>
    <cellStyle name="Heading 3 2 3 2 2 2" xfId="1048" xr:uid="{00000000-0005-0000-0000-0000A6010000}"/>
    <cellStyle name="Heading 3 2 3 2 2 3" xfId="1049" xr:uid="{00000000-0005-0000-0000-0000A7010000}"/>
    <cellStyle name="Heading 3 2 3 2 3" xfId="1050" xr:uid="{00000000-0005-0000-0000-0000A8010000}"/>
    <cellStyle name="Heading 3 2 3 2 4" xfId="1051" xr:uid="{00000000-0005-0000-0000-0000A9010000}"/>
    <cellStyle name="Heading 3 2 3 3" xfId="1052" xr:uid="{00000000-0005-0000-0000-0000AA010000}"/>
    <cellStyle name="Heading 3 2 3 3 2" xfId="1053" xr:uid="{00000000-0005-0000-0000-0000AB010000}"/>
    <cellStyle name="Heading 3 2 3 3 3" xfId="1054" xr:uid="{00000000-0005-0000-0000-0000AC010000}"/>
    <cellStyle name="Heading 3 2 3 4" xfId="1055" xr:uid="{00000000-0005-0000-0000-0000AD010000}"/>
    <cellStyle name="Heading 3 2 3 5" xfId="1056" xr:uid="{00000000-0005-0000-0000-0000AE010000}"/>
    <cellStyle name="Heading 3 2 4" xfId="108" xr:uid="{00000000-0005-0000-0000-0000AF010000}"/>
    <cellStyle name="Heading 3 2 4 2" xfId="1057" xr:uid="{00000000-0005-0000-0000-0000B0010000}"/>
    <cellStyle name="Heading 3 2 4 2 2" xfId="1058" xr:uid="{00000000-0005-0000-0000-0000B1010000}"/>
    <cellStyle name="Heading 3 2 4 2 2 2" xfId="1059" xr:uid="{00000000-0005-0000-0000-0000B2010000}"/>
    <cellStyle name="Heading 3 2 4 2 2 3" xfId="1060" xr:uid="{00000000-0005-0000-0000-0000B3010000}"/>
    <cellStyle name="Heading 3 2 4 2 3" xfId="1061" xr:uid="{00000000-0005-0000-0000-0000B4010000}"/>
    <cellStyle name="Heading 3 2 4 2 4" xfId="1062" xr:uid="{00000000-0005-0000-0000-0000B5010000}"/>
    <cellStyle name="Heading 3 2 4 3" xfId="1063" xr:uid="{00000000-0005-0000-0000-0000B6010000}"/>
    <cellStyle name="Heading 3 2 4 3 2" xfId="1064" xr:uid="{00000000-0005-0000-0000-0000B7010000}"/>
    <cellStyle name="Heading 3 2 4 3 3" xfId="1065" xr:uid="{00000000-0005-0000-0000-0000B8010000}"/>
    <cellStyle name="Heading 3 2 4 4" xfId="1066" xr:uid="{00000000-0005-0000-0000-0000B9010000}"/>
    <cellStyle name="Heading 3 2 4 5" xfId="1067" xr:uid="{00000000-0005-0000-0000-0000BA010000}"/>
    <cellStyle name="Heading 3 2 5" xfId="1068" xr:uid="{00000000-0005-0000-0000-0000BB010000}"/>
    <cellStyle name="Heading 3 2 5 2" xfId="1069" xr:uid="{00000000-0005-0000-0000-0000BC010000}"/>
    <cellStyle name="Heading 3 2 5 2 2" xfId="1070" xr:uid="{00000000-0005-0000-0000-0000BD010000}"/>
    <cellStyle name="Heading 3 2 5 2 3" xfId="1071" xr:uid="{00000000-0005-0000-0000-0000BE010000}"/>
    <cellStyle name="Heading 3 2 5 3" xfId="1072" xr:uid="{00000000-0005-0000-0000-0000BF010000}"/>
    <cellStyle name="Heading 3 2 5 4" xfId="1073" xr:uid="{00000000-0005-0000-0000-0000C0010000}"/>
    <cellStyle name="Heading 3 2 6" xfId="1074" xr:uid="{00000000-0005-0000-0000-0000C1010000}"/>
    <cellStyle name="Heading 3 2 6 2" xfId="1075" xr:uid="{00000000-0005-0000-0000-0000C2010000}"/>
    <cellStyle name="Heading 3 2 6 2 2" xfId="1076" xr:uid="{00000000-0005-0000-0000-0000C3010000}"/>
    <cellStyle name="Heading 3 2 6 2 3" xfId="1077" xr:uid="{00000000-0005-0000-0000-0000C4010000}"/>
    <cellStyle name="Heading 3 2 6 3" xfId="1078" xr:uid="{00000000-0005-0000-0000-0000C5010000}"/>
    <cellStyle name="Heading 3 2 6 4" xfId="1079" xr:uid="{00000000-0005-0000-0000-0000C6010000}"/>
    <cellStyle name="Heading 3 2 7" xfId="1080" xr:uid="{00000000-0005-0000-0000-0000C7010000}"/>
    <cellStyle name="Heading 3 2 7 2" xfId="1081" xr:uid="{00000000-0005-0000-0000-0000C8010000}"/>
    <cellStyle name="Heading 3 2 7 3" xfId="1082" xr:uid="{00000000-0005-0000-0000-0000C9010000}"/>
    <cellStyle name="Heading 3 2 8" xfId="1083" xr:uid="{00000000-0005-0000-0000-0000CA010000}"/>
    <cellStyle name="Heading 3 2 9" xfId="1084" xr:uid="{00000000-0005-0000-0000-0000CB010000}"/>
    <cellStyle name="Heading 3 3" xfId="109" xr:uid="{00000000-0005-0000-0000-0000CC010000}"/>
    <cellStyle name="Heading 3 3 2" xfId="110" xr:uid="{00000000-0005-0000-0000-0000CD010000}"/>
    <cellStyle name="Heading 3 3 2 2" xfId="1085" xr:uid="{00000000-0005-0000-0000-0000CE010000}"/>
    <cellStyle name="Heading 3 3 2 2 2" xfId="1086" xr:uid="{00000000-0005-0000-0000-0000CF010000}"/>
    <cellStyle name="Heading 3 3 2 2 2 2" xfId="1087" xr:uid="{00000000-0005-0000-0000-0000D0010000}"/>
    <cellStyle name="Heading 3 3 2 2 2 3" xfId="1088" xr:uid="{00000000-0005-0000-0000-0000D1010000}"/>
    <cellStyle name="Heading 3 3 2 2 3" xfId="1089" xr:uid="{00000000-0005-0000-0000-0000D2010000}"/>
    <cellStyle name="Heading 3 3 2 2 4" xfId="1090" xr:uid="{00000000-0005-0000-0000-0000D3010000}"/>
    <cellStyle name="Heading 3 3 2 3" xfId="1091" xr:uid="{00000000-0005-0000-0000-0000D4010000}"/>
    <cellStyle name="Heading 3 3 2 3 2" xfId="1092" xr:uid="{00000000-0005-0000-0000-0000D5010000}"/>
    <cellStyle name="Heading 3 3 2 3 3" xfId="1093" xr:uid="{00000000-0005-0000-0000-0000D6010000}"/>
    <cellStyle name="Heading 3 3 2 4" xfId="1094" xr:uid="{00000000-0005-0000-0000-0000D7010000}"/>
    <cellStyle name="Heading 3 3 2 5" xfId="1095" xr:uid="{00000000-0005-0000-0000-0000D8010000}"/>
    <cellStyle name="Heading 3 3 3" xfId="111" xr:uid="{00000000-0005-0000-0000-0000D9010000}"/>
    <cellStyle name="Heading 3 3 3 2" xfId="1096" xr:uid="{00000000-0005-0000-0000-0000DA010000}"/>
    <cellStyle name="Heading 3 3 3 2 2" xfId="1097" xr:uid="{00000000-0005-0000-0000-0000DB010000}"/>
    <cellStyle name="Heading 3 3 3 2 2 2" xfId="1098" xr:uid="{00000000-0005-0000-0000-0000DC010000}"/>
    <cellStyle name="Heading 3 3 3 2 2 3" xfId="1099" xr:uid="{00000000-0005-0000-0000-0000DD010000}"/>
    <cellStyle name="Heading 3 3 3 2 3" xfId="1100" xr:uid="{00000000-0005-0000-0000-0000DE010000}"/>
    <cellStyle name="Heading 3 3 3 2 4" xfId="1101" xr:uid="{00000000-0005-0000-0000-0000DF010000}"/>
    <cellStyle name="Heading 3 3 3 3" xfId="1102" xr:uid="{00000000-0005-0000-0000-0000E0010000}"/>
    <cellStyle name="Heading 3 3 3 3 2" xfId="1103" xr:uid="{00000000-0005-0000-0000-0000E1010000}"/>
    <cellStyle name="Heading 3 3 3 3 3" xfId="1104" xr:uid="{00000000-0005-0000-0000-0000E2010000}"/>
    <cellStyle name="Heading 3 3 3 4" xfId="1105" xr:uid="{00000000-0005-0000-0000-0000E3010000}"/>
    <cellStyle name="Heading 3 3 3 5" xfId="1106" xr:uid="{00000000-0005-0000-0000-0000E4010000}"/>
    <cellStyle name="Heading 3 3 4" xfId="112" xr:uid="{00000000-0005-0000-0000-0000E5010000}"/>
    <cellStyle name="Heading 3 3 4 2" xfId="1107" xr:uid="{00000000-0005-0000-0000-0000E6010000}"/>
    <cellStyle name="Heading 3 3 4 2 2" xfId="1108" xr:uid="{00000000-0005-0000-0000-0000E7010000}"/>
    <cellStyle name="Heading 3 3 4 2 2 2" xfId="1109" xr:uid="{00000000-0005-0000-0000-0000E8010000}"/>
    <cellStyle name="Heading 3 3 4 2 2 3" xfId="1110" xr:uid="{00000000-0005-0000-0000-0000E9010000}"/>
    <cellStyle name="Heading 3 3 4 2 3" xfId="1111" xr:uid="{00000000-0005-0000-0000-0000EA010000}"/>
    <cellStyle name="Heading 3 3 4 2 4" xfId="1112" xr:uid="{00000000-0005-0000-0000-0000EB010000}"/>
    <cellStyle name="Heading 3 3 4 3" xfId="1113" xr:uid="{00000000-0005-0000-0000-0000EC010000}"/>
    <cellStyle name="Heading 3 3 4 3 2" xfId="1114" xr:uid="{00000000-0005-0000-0000-0000ED010000}"/>
    <cellStyle name="Heading 3 3 4 3 3" xfId="1115" xr:uid="{00000000-0005-0000-0000-0000EE010000}"/>
    <cellStyle name="Heading 3 3 4 4" xfId="1116" xr:uid="{00000000-0005-0000-0000-0000EF010000}"/>
    <cellStyle name="Heading 3 3 4 5" xfId="1117" xr:uid="{00000000-0005-0000-0000-0000F0010000}"/>
    <cellStyle name="Heading 3 3 5" xfId="1118" xr:uid="{00000000-0005-0000-0000-0000F1010000}"/>
    <cellStyle name="Heading 3 3 5 2" xfId="1119" xr:uid="{00000000-0005-0000-0000-0000F2010000}"/>
    <cellStyle name="Heading 3 3 5 2 2" xfId="1120" xr:uid="{00000000-0005-0000-0000-0000F3010000}"/>
    <cellStyle name="Heading 3 3 5 2 3" xfId="1121" xr:uid="{00000000-0005-0000-0000-0000F4010000}"/>
    <cellStyle name="Heading 3 3 5 3" xfId="1122" xr:uid="{00000000-0005-0000-0000-0000F5010000}"/>
    <cellStyle name="Heading 3 3 5 4" xfId="1123" xr:uid="{00000000-0005-0000-0000-0000F6010000}"/>
    <cellStyle name="Heading 3 3 6" xfId="1124" xr:uid="{00000000-0005-0000-0000-0000F7010000}"/>
    <cellStyle name="Heading 3 3 6 2" xfId="1125" xr:uid="{00000000-0005-0000-0000-0000F8010000}"/>
    <cellStyle name="Heading 3 3 6 3" xfId="1126" xr:uid="{00000000-0005-0000-0000-0000F9010000}"/>
    <cellStyle name="Heading 3 3 7" xfId="1127" xr:uid="{00000000-0005-0000-0000-0000FA010000}"/>
    <cellStyle name="Heading 3 3 8" xfId="1128" xr:uid="{00000000-0005-0000-0000-0000FB010000}"/>
    <cellStyle name="Heading 4 2" xfId="113" xr:uid="{00000000-0005-0000-0000-0000FC010000}"/>
    <cellStyle name="Heading 4 2 2" xfId="1129" xr:uid="{00000000-0005-0000-0000-0000FD010000}"/>
    <cellStyle name="Heading 4 2 3" xfId="1130" xr:uid="{00000000-0005-0000-0000-0000FE010000}"/>
    <cellStyle name="Heading 4 3" xfId="114" xr:uid="{00000000-0005-0000-0000-0000FF010000}"/>
    <cellStyle name="Hyperlink 2" xfId="115" xr:uid="{00000000-0005-0000-0000-000000020000}"/>
    <cellStyle name="Hyperlink 3" xfId="116" xr:uid="{00000000-0005-0000-0000-000001020000}"/>
    <cellStyle name="Input 2" xfId="117" xr:uid="{00000000-0005-0000-0000-000002020000}"/>
    <cellStyle name="Input 2 10" xfId="591" xr:uid="{00000000-0005-0000-0000-000003020000}"/>
    <cellStyle name="Input 2 11" xfId="1361" xr:uid="{00000000-0005-0000-0000-000004020000}"/>
    <cellStyle name="Input 2 12" xfId="1360" xr:uid="{00000000-0005-0000-0000-000005020000}"/>
    <cellStyle name="Input 2 2" xfId="118" xr:uid="{00000000-0005-0000-0000-000006020000}"/>
    <cellStyle name="Input 2 3" xfId="119" xr:uid="{00000000-0005-0000-0000-000007020000}"/>
    <cellStyle name="Input 2 3 2" xfId="267" xr:uid="{00000000-0005-0000-0000-000008020000}"/>
    <cellStyle name="Input 2 3 2 2" xfId="374" xr:uid="{00000000-0005-0000-0000-000009020000}"/>
    <cellStyle name="Input 2 3 2 2 2" xfId="734" xr:uid="{00000000-0005-0000-0000-00000A020000}"/>
    <cellStyle name="Input 2 3 2 2 2 2" xfId="1131" xr:uid="{00000000-0005-0000-0000-00000B020000}"/>
    <cellStyle name="Input 2 3 2 2 3" xfId="1132" xr:uid="{00000000-0005-0000-0000-00000C020000}"/>
    <cellStyle name="Input 2 3 2 2 4" xfId="1364" xr:uid="{00000000-0005-0000-0000-00000D020000}"/>
    <cellStyle name="Input 2 3 2 2 5" xfId="1357" xr:uid="{00000000-0005-0000-0000-00000E020000}"/>
    <cellStyle name="Input 2 3 2 3" xfId="455" xr:uid="{00000000-0005-0000-0000-00000F020000}"/>
    <cellStyle name="Input 2 3 2 3 2" xfId="815" xr:uid="{00000000-0005-0000-0000-000010020000}"/>
    <cellStyle name="Input 2 3 2 4" xfId="536" xr:uid="{00000000-0005-0000-0000-000011020000}"/>
    <cellStyle name="Input 2 3 2 4 2" xfId="896" xr:uid="{00000000-0005-0000-0000-000012020000}"/>
    <cellStyle name="Input 2 3 2 5" xfId="627" xr:uid="{00000000-0005-0000-0000-000013020000}"/>
    <cellStyle name="Input 2 3 2 6" xfId="1363" xr:uid="{00000000-0005-0000-0000-000014020000}"/>
    <cellStyle name="Input 2 3 2 7" xfId="1358" xr:uid="{00000000-0005-0000-0000-000015020000}"/>
    <cellStyle name="Input 2 3 3" xfId="268" xr:uid="{00000000-0005-0000-0000-000016020000}"/>
    <cellStyle name="Input 2 3 3 2" xfId="412" xr:uid="{00000000-0005-0000-0000-000017020000}"/>
    <cellStyle name="Input 2 3 3 2 2" xfId="772" xr:uid="{00000000-0005-0000-0000-000018020000}"/>
    <cellStyle name="Input 2 3 3 2 2 2" xfId="1133" xr:uid="{00000000-0005-0000-0000-000019020000}"/>
    <cellStyle name="Input 2 3 3 2 3" xfId="1134" xr:uid="{00000000-0005-0000-0000-00001A020000}"/>
    <cellStyle name="Input 2 3 3 2 4" xfId="1366" xr:uid="{00000000-0005-0000-0000-00001B020000}"/>
    <cellStyle name="Input 2 3 3 2 5" xfId="1289" xr:uid="{00000000-0005-0000-0000-00001C020000}"/>
    <cellStyle name="Input 2 3 3 3" xfId="493" xr:uid="{00000000-0005-0000-0000-00001D020000}"/>
    <cellStyle name="Input 2 3 3 3 2" xfId="853" xr:uid="{00000000-0005-0000-0000-00001E020000}"/>
    <cellStyle name="Input 2 3 3 4" xfId="574" xr:uid="{00000000-0005-0000-0000-00001F020000}"/>
    <cellStyle name="Input 2 3 3 4 2" xfId="934" xr:uid="{00000000-0005-0000-0000-000020020000}"/>
    <cellStyle name="Input 2 3 3 5" xfId="628" xr:uid="{00000000-0005-0000-0000-000021020000}"/>
    <cellStyle name="Input 2 3 3 6" xfId="1365" xr:uid="{00000000-0005-0000-0000-000022020000}"/>
    <cellStyle name="Input 2 3 3 7" xfId="1356" xr:uid="{00000000-0005-0000-0000-000023020000}"/>
    <cellStyle name="Input 2 3 4" xfId="352" xr:uid="{00000000-0005-0000-0000-000024020000}"/>
    <cellStyle name="Input 2 3 4 2" xfId="712" xr:uid="{00000000-0005-0000-0000-000025020000}"/>
    <cellStyle name="Input 2 3 4 2 2" xfId="1135" xr:uid="{00000000-0005-0000-0000-000026020000}"/>
    <cellStyle name="Input 2 3 4 3" xfId="1136" xr:uid="{00000000-0005-0000-0000-000027020000}"/>
    <cellStyle name="Input 2 3 4 4" xfId="1367" xr:uid="{00000000-0005-0000-0000-000028020000}"/>
    <cellStyle name="Input 2 3 4 5" xfId="1355" xr:uid="{00000000-0005-0000-0000-000029020000}"/>
    <cellStyle name="Input 2 3 5" xfId="433" xr:uid="{00000000-0005-0000-0000-00002A020000}"/>
    <cellStyle name="Input 2 3 5 2" xfId="793" xr:uid="{00000000-0005-0000-0000-00002B020000}"/>
    <cellStyle name="Input 2 3 6" xfId="514" xr:uid="{00000000-0005-0000-0000-00002C020000}"/>
    <cellStyle name="Input 2 3 6 2" xfId="874" xr:uid="{00000000-0005-0000-0000-00002D020000}"/>
    <cellStyle name="Input 2 3 7" xfId="592" xr:uid="{00000000-0005-0000-0000-00002E020000}"/>
    <cellStyle name="Input 2 3 8" xfId="1362" xr:uid="{00000000-0005-0000-0000-00002F020000}"/>
    <cellStyle name="Input 2 3 9" xfId="1359" xr:uid="{00000000-0005-0000-0000-000030020000}"/>
    <cellStyle name="Input 2 4" xfId="120" xr:uid="{00000000-0005-0000-0000-000031020000}"/>
    <cellStyle name="Input 2 4 2" xfId="269" xr:uid="{00000000-0005-0000-0000-000032020000}"/>
    <cellStyle name="Input 2 4 2 2" xfId="381" xr:uid="{00000000-0005-0000-0000-000033020000}"/>
    <cellStyle name="Input 2 4 2 2 2" xfId="741" xr:uid="{00000000-0005-0000-0000-000034020000}"/>
    <cellStyle name="Input 2 4 2 2 2 2" xfId="1137" xr:uid="{00000000-0005-0000-0000-000035020000}"/>
    <cellStyle name="Input 2 4 2 2 3" xfId="1138" xr:uid="{00000000-0005-0000-0000-000036020000}"/>
    <cellStyle name="Input 2 4 2 2 4" xfId="1370" xr:uid="{00000000-0005-0000-0000-000037020000}"/>
    <cellStyle name="Input 2 4 2 2 5" xfId="1316" xr:uid="{00000000-0005-0000-0000-000038020000}"/>
    <cellStyle name="Input 2 4 2 3" xfId="462" xr:uid="{00000000-0005-0000-0000-000039020000}"/>
    <cellStyle name="Input 2 4 2 3 2" xfId="822" xr:uid="{00000000-0005-0000-0000-00003A020000}"/>
    <cellStyle name="Input 2 4 2 4" xfId="543" xr:uid="{00000000-0005-0000-0000-00003B020000}"/>
    <cellStyle name="Input 2 4 2 4 2" xfId="903" xr:uid="{00000000-0005-0000-0000-00003C020000}"/>
    <cellStyle name="Input 2 4 2 5" xfId="629" xr:uid="{00000000-0005-0000-0000-00003D020000}"/>
    <cellStyle name="Input 2 4 2 6" xfId="1369" xr:uid="{00000000-0005-0000-0000-00003E020000}"/>
    <cellStyle name="Input 2 4 2 7" xfId="1317" xr:uid="{00000000-0005-0000-0000-00003F020000}"/>
    <cellStyle name="Input 2 4 3" xfId="270" xr:uid="{00000000-0005-0000-0000-000040020000}"/>
    <cellStyle name="Input 2 4 3 2" xfId="405" xr:uid="{00000000-0005-0000-0000-000041020000}"/>
    <cellStyle name="Input 2 4 3 2 2" xfId="765" xr:uid="{00000000-0005-0000-0000-000042020000}"/>
    <cellStyle name="Input 2 4 3 2 2 2" xfId="1139" xr:uid="{00000000-0005-0000-0000-000043020000}"/>
    <cellStyle name="Input 2 4 3 2 3" xfId="1140" xr:uid="{00000000-0005-0000-0000-000044020000}"/>
    <cellStyle name="Input 2 4 3 2 4" xfId="1372" xr:uid="{00000000-0005-0000-0000-000045020000}"/>
    <cellStyle name="Input 2 4 3 2 5" xfId="1314" xr:uid="{00000000-0005-0000-0000-000046020000}"/>
    <cellStyle name="Input 2 4 3 3" xfId="486" xr:uid="{00000000-0005-0000-0000-000047020000}"/>
    <cellStyle name="Input 2 4 3 3 2" xfId="846" xr:uid="{00000000-0005-0000-0000-000048020000}"/>
    <cellStyle name="Input 2 4 3 4" xfId="567" xr:uid="{00000000-0005-0000-0000-000049020000}"/>
    <cellStyle name="Input 2 4 3 4 2" xfId="927" xr:uid="{00000000-0005-0000-0000-00004A020000}"/>
    <cellStyle name="Input 2 4 3 5" xfId="630" xr:uid="{00000000-0005-0000-0000-00004B020000}"/>
    <cellStyle name="Input 2 4 3 6" xfId="1371" xr:uid="{00000000-0005-0000-0000-00004C020000}"/>
    <cellStyle name="Input 2 4 3 7" xfId="1315" xr:uid="{00000000-0005-0000-0000-00004D020000}"/>
    <cellStyle name="Input 2 4 4" xfId="345" xr:uid="{00000000-0005-0000-0000-00004E020000}"/>
    <cellStyle name="Input 2 4 4 2" xfId="705" xr:uid="{00000000-0005-0000-0000-00004F020000}"/>
    <cellStyle name="Input 2 4 4 2 2" xfId="1141" xr:uid="{00000000-0005-0000-0000-000050020000}"/>
    <cellStyle name="Input 2 4 4 3" xfId="1142" xr:uid="{00000000-0005-0000-0000-000051020000}"/>
    <cellStyle name="Input 2 4 4 4" xfId="1373" xr:uid="{00000000-0005-0000-0000-000052020000}"/>
    <cellStyle name="Input 2 4 4 5" xfId="1313" xr:uid="{00000000-0005-0000-0000-000053020000}"/>
    <cellStyle name="Input 2 4 5" xfId="426" xr:uid="{00000000-0005-0000-0000-000054020000}"/>
    <cellStyle name="Input 2 4 5 2" xfId="786" xr:uid="{00000000-0005-0000-0000-000055020000}"/>
    <cellStyle name="Input 2 4 6" xfId="507" xr:uid="{00000000-0005-0000-0000-000056020000}"/>
    <cellStyle name="Input 2 4 6 2" xfId="867" xr:uid="{00000000-0005-0000-0000-000057020000}"/>
    <cellStyle name="Input 2 4 7" xfId="593" xr:uid="{00000000-0005-0000-0000-000058020000}"/>
    <cellStyle name="Input 2 4 8" xfId="1368" xr:uid="{00000000-0005-0000-0000-000059020000}"/>
    <cellStyle name="Input 2 4 9" xfId="1354" xr:uid="{00000000-0005-0000-0000-00005A020000}"/>
    <cellStyle name="Input 2 5" xfId="271" xr:uid="{00000000-0005-0000-0000-00005B020000}"/>
    <cellStyle name="Input 2 5 2" xfId="392" xr:uid="{00000000-0005-0000-0000-00005C020000}"/>
    <cellStyle name="Input 2 5 2 2" xfId="752" xr:uid="{00000000-0005-0000-0000-00005D020000}"/>
    <cellStyle name="Input 2 5 2 2 2" xfId="1143" xr:uid="{00000000-0005-0000-0000-00005E020000}"/>
    <cellStyle name="Input 2 5 2 3" xfId="1144" xr:uid="{00000000-0005-0000-0000-00005F020000}"/>
    <cellStyle name="Input 2 5 2 4" xfId="1375" xr:uid="{00000000-0005-0000-0000-000060020000}"/>
    <cellStyle name="Input 2 5 2 5" xfId="1311" xr:uid="{00000000-0005-0000-0000-000061020000}"/>
    <cellStyle name="Input 2 5 3" xfId="473" xr:uid="{00000000-0005-0000-0000-000062020000}"/>
    <cellStyle name="Input 2 5 3 2" xfId="833" xr:uid="{00000000-0005-0000-0000-000063020000}"/>
    <cellStyle name="Input 2 5 4" xfId="554" xr:uid="{00000000-0005-0000-0000-000064020000}"/>
    <cellStyle name="Input 2 5 4 2" xfId="914" xr:uid="{00000000-0005-0000-0000-000065020000}"/>
    <cellStyle name="Input 2 5 5" xfId="631" xr:uid="{00000000-0005-0000-0000-000066020000}"/>
    <cellStyle name="Input 2 5 6" xfId="1374" xr:uid="{00000000-0005-0000-0000-000067020000}"/>
    <cellStyle name="Input 2 5 7" xfId="1312" xr:uid="{00000000-0005-0000-0000-000068020000}"/>
    <cellStyle name="Input 2 6" xfId="272" xr:uid="{00000000-0005-0000-0000-000069020000}"/>
    <cellStyle name="Input 2 6 2" xfId="390" xr:uid="{00000000-0005-0000-0000-00006A020000}"/>
    <cellStyle name="Input 2 6 2 2" xfId="750" xr:uid="{00000000-0005-0000-0000-00006B020000}"/>
    <cellStyle name="Input 2 6 2 2 2" xfId="1145" xr:uid="{00000000-0005-0000-0000-00006C020000}"/>
    <cellStyle name="Input 2 6 2 3" xfId="1146" xr:uid="{00000000-0005-0000-0000-00006D020000}"/>
    <cellStyle name="Input 2 6 2 4" xfId="1377" xr:uid="{00000000-0005-0000-0000-00006E020000}"/>
    <cellStyle name="Input 2 6 2 5" xfId="1309" xr:uid="{00000000-0005-0000-0000-00006F020000}"/>
    <cellStyle name="Input 2 6 3" xfId="471" xr:uid="{00000000-0005-0000-0000-000070020000}"/>
    <cellStyle name="Input 2 6 3 2" xfId="831" xr:uid="{00000000-0005-0000-0000-000071020000}"/>
    <cellStyle name="Input 2 6 4" xfId="552" xr:uid="{00000000-0005-0000-0000-000072020000}"/>
    <cellStyle name="Input 2 6 4 2" xfId="912" xr:uid="{00000000-0005-0000-0000-000073020000}"/>
    <cellStyle name="Input 2 6 5" xfId="632" xr:uid="{00000000-0005-0000-0000-000074020000}"/>
    <cellStyle name="Input 2 6 6" xfId="1376" xr:uid="{00000000-0005-0000-0000-000075020000}"/>
    <cellStyle name="Input 2 6 7" xfId="1310" xr:uid="{00000000-0005-0000-0000-000076020000}"/>
    <cellStyle name="Input 2 7" xfId="325" xr:uid="{00000000-0005-0000-0000-000077020000}"/>
    <cellStyle name="Input 2 7 2" xfId="685" xr:uid="{00000000-0005-0000-0000-000078020000}"/>
    <cellStyle name="Input 2 7 2 2" xfId="1147" xr:uid="{00000000-0005-0000-0000-000079020000}"/>
    <cellStyle name="Input 2 7 3" xfId="1148" xr:uid="{00000000-0005-0000-0000-00007A020000}"/>
    <cellStyle name="Input 2 7 4" xfId="1378" xr:uid="{00000000-0005-0000-0000-00007B020000}"/>
    <cellStyle name="Input 2 7 5" xfId="1308" xr:uid="{00000000-0005-0000-0000-00007C020000}"/>
    <cellStyle name="Input 2 8" xfId="329" xr:uid="{00000000-0005-0000-0000-00007D020000}"/>
    <cellStyle name="Input 2 8 2" xfId="689" xr:uid="{00000000-0005-0000-0000-00007E020000}"/>
    <cellStyle name="Input 2 8 2 2" xfId="1149" xr:uid="{00000000-0005-0000-0000-00007F020000}"/>
    <cellStyle name="Input 2 8 3" xfId="1150" xr:uid="{00000000-0005-0000-0000-000080020000}"/>
    <cellStyle name="Input 2 9" xfId="324" xr:uid="{00000000-0005-0000-0000-000081020000}"/>
    <cellStyle name="Input 2 9 2" xfId="684" xr:uid="{00000000-0005-0000-0000-000082020000}"/>
    <cellStyle name="Input 3" xfId="121" xr:uid="{00000000-0005-0000-0000-000083020000}"/>
    <cellStyle name="Input 3 10" xfId="1379" xr:uid="{00000000-0005-0000-0000-000084020000}"/>
    <cellStyle name="Input 3 11" xfId="1307" xr:uid="{00000000-0005-0000-0000-000085020000}"/>
    <cellStyle name="Input 3 2" xfId="122" xr:uid="{00000000-0005-0000-0000-000086020000}"/>
    <cellStyle name="Input 3 2 2" xfId="273" xr:uid="{00000000-0005-0000-0000-000087020000}"/>
    <cellStyle name="Input 3 2 2 2" xfId="375" xr:uid="{00000000-0005-0000-0000-000088020000}"/>
    <cellStyle name="Input 3 2 2 2 2" xfId="735" xr:uid="{00000000-0005-0000-0000-000089020000}"/>
    <cellStyle name="Input 3 2 2 2 2 2" xfId="1151" xr:uid="{00000000-0005-0000-0000-00008A020000}"/>
    <cellStyle name="Input 3 2 2 2 3" xfId="1152" xr:uid="{00000000-0005-0000-0000-00008B020000}"/>
    <cellStyle name="Input 3 2 2 2 4" xfId="1382" xr:uid="{00000000-0005-0000-0000-00008C020000}"/>
    <cellStyle name="Input 3 2 2 2 5" xfId="1304" xr:uid="{00000000-0005-0000-0000-00008D020000}"/>
    <cellStyle name="Input 3 2 2 3" xfId="456" xr:uid="{00000000-0005-0000-0000-00008E020000}"/>
    <cellStyle name="Input 3 2 2 3 2" xfId="816" xr:uid="{00000000-0005-0000-0000-00008F020000}"/>
    <cellStyle name="Input 3 2 2 4" xfId="537" xr:uid="{00000000-0005-0000-0000-000090020000}"/>
    <cellStyle name="Input 3 2 2 4 2" xfId="897" xr:uid="{00000000-0005-0000-0000-000091020000}"/>
    <cellStyle name="Input 3 2 2 5" xfId="633" xr:uid="{00000000-0005-0000-0000-000092020000}"/>
    <cellStyle name="Input 3 2 2 6" xfId="1381" xr:uid="{00000000-0005-0000-0000-000093020000}"/>
    <cellStyle name="Input 3 2 2 7" xfId="1305" xr:uid="{00000000-0005-0000-0000-000094020000}"/>
    <cellStyle name="Input 3 2 3" xfId="274" xr:uid="{00000000-0005-0000-0000-000095020000}"/>
    <cellStyle name="Input 3 2 3 2" xfId="411" xr:uid="{00000000-0005-0000-0000-000096020000}"/>
    <cellStyle name="Input 3 2 3 2 2" xfId="771" xr:uid="{00000000-0005-0000-0000-000097020000}"/>
    <cellStyle name="Input 3 2 3 2 2 2" xfId="1153" xr:uid="{00000000-0005-0000-0000-000098020000}"/>
    <cellStyle name="Input 3 2 3 2 3" xfId="1154" xr:uid="{00000000-0005-0000-0000-000099020000}"/>
    <cellStyle name="Input 3 2 3 2 4" xfId="1384" xr:uid="{00000000-0005-0000-0000-00009A020000}"/>
    <cellStyle name="Input 3 2 3 2 5" xfId="1302" xr:uid="{00000000-0005-0000-0000-00009B020000}"/>
    <cellStyle name="Input 3 2 3 3" xfId="492" xr:uid="{00000000-0005-0000-0000-00009C020000}"/>
    <cellStyle name="Input 3 2 3 3 2" xfId="852" xr:uid="{00000000-0005-0000-0000-00009D020000}"/>
    <cellStyle name="Input 3 2 3 4" xfId="573" xr:uid="{00000000-0005-0000-0000-00009E020000}"/>
    <cellStyle name="Input 3 2 3 4 2" xfId="933" xr:uid="{00000000-0005-0000-0000-00009F020000}"/>
    <cellStyle name="Input 3 2 3 5" xfId="634" xr:uid="{00000000-0005-0000-0000-0000A0020000}"/>
    <cellStyle name="Input 3 2 3 6" xfId="1383" xr:uid="{00000000-0005-0000-0000-0000A1020000}"/>
    <cellStyle name="Input 3 2 3 7" xfId="1303" xr:uid="{00000000-0005-0000-0000-0000A2020000}"/>
    <cellStyle name="Input 3 2 4" xfId="351" xr:uid="{00000000-0005-0000-0000-0000A3020000}"/>
    <cellStyle name="Input 3 2 4 2" xfId="711" xr:uid="{00000000-0005-0000-0000-0000A4020000}"/>
    <cellStyle name="Input 3 2 4 2 2" xfId="1155" xr:uid="{00000000-0005-0000-0000-0000A5020000}"/>
    <cellStyle name="Input 3 2 4 3" xfId="1156" xr:uid="{00000000-0005-0000-0000-0000A6020000}"/>
    <cellStyle name="Input 3 2 4 4" xfId="1385" xr:uid="{00000000-0005-0000-0000-0000A7020000}"/>
    <cellStyle name="Input 3 2 4 5" xfId="1301" xr:uid="{00000000-0005-0000-0000-0000A8020000}"/>
    <cellStyle name="Input 3 2 5" xfId="432" xr:uid="{00000000-0005-0000-0000-0000A9020000}"/>
    <cellStyle name="Input 3 2 5 2" xfId="792" xr:uid="{00000000-0005-0000-0000-0000AA020000}"/>
    <cellStyle name="Input 3 2 6" xfId="513" xr:uid="{00000000-0005-0000-0000-0000AB020000}"/>
    <cellStyle name="Input 3 2 6 2" xfId="873" xr:uid="{00000000-0005-0000-0000-0000AC020000}"/>
    <cellStyle name="Input 3 2 7" xfId="595" xr:uid="{00000000-0005-0000-0000-0000AD020000}"/>
    <cellStyle name="Input 3 2 8" xfId="1380" xr:uid="{00000000-0005-0000-0000-0000AE020000}"/>
    <cellStyle name="Input 3 2 9" xfId="1306" xr:uid="{00000000-0005-0000-0000-0000AF020000}"/>
    <cellStyle name="Input 3 3" xfId="123" xr:uid="{00000000-0005-0000-0000-0000B0020000}"/>
    <cellStyle name="Input 3 3 2" xfId="275" xr:uid="{00000000-0005-0000-0000-0000B1020000}"/>
    <cellStyle name="Input 3 3 2 2" xfId="380" xr:uid="{00000000-0005-0000-0000-0000B2020000}"/>
    <cellStyle name="Input 3 3 2 2 2" xfId="740" xr:uid="{00000000-0005-0000-0000-0000B3020000}"/>
    <cellStyle name="Input 3 3 2 2 2 2" xfId="1157" xr:uid="{00000000-0005-0000-0000-0000B4020000}"/>
    <cellStyle name="Input 3 3 2 2 3" xfId="1158" xr:uid="{00000000-0005-0000-0000-0000B5020000}"/>
    <cellStyle name="Input 3 3 2 2 4" xfId="1388" xr:uid="{00000000-0005-0000-0000-0000B6020000}"/>
    <cellStyle name="Input 3 3 2 2 5" xfId="1298" xr:uid="{00000000-0005-0000-0000-0000B7020000}"/>
    <cellStyle name="Input 3 3 2 3" xfId="461" xr:uid="{00000000-0005-0000-0000-0000B8020000}"/>
    <cellStyle name="Input 3 3 2 3 2" xfId="821" xr:uid="{00000000-0005-0000-0000-0000B9020000}"/>
    <cellStyle name="Input 3 3 2 4" xfId="542" xr:uid="{00000000-0005-0000-0000-0000BA020000}"/>
    <cellStyle name="Input 3 3 2 4 2" xfId="902" xr:uid="{00000000-0005-0000-0000-0000BB020000}"/>
    <cellStyle name="Input 3 3 2 5" xfId="635" xr:uid="{00000000-0005-0000-0000-0000BC020000}"/>
    <cellStyle name="Input 3 3 2 6" xfId="1387" xr:uid="{00000000-0005-0000-0000-0000BD020000}"/>
    <cellStyle name="Input 3 3 2 7" xfId="1299" xr:uid="{00000000-0005-0000-0000-0000BE020000}"/>
    <cellStyle name="Input 3 3 3" xfId="276" xr:uid="{00000000-0005-0000-0000-0000BF020000}"/>
    <cellStyle name="Input 3 3 3 2" xfId="406" xr:uid="{00000000-0005-0000-0000-0000C0020000}"/>
    <cellStyle name="Input 3 3 3 2 2" xfId="766" xr:uid="{00000000-0005-0000-0000-0000C1020000}"/>
    <cellStyle name="Input 3 3 3 2 2 2" xfId="1159" xr:uid="{00000000-0005-0000-0000-0000C2020000}"/>
    <cellStyle name="Input 3 3 3 2 3" xfId="1160" xr:uid="{00000000-0005-0000-0000-0000C3020000}"/>
    <cellStyle name="Input 3 3 3 2 4" xfId="1390" xr:uid="{00000000-0005-0000-0000-0000C4020000}"/>
    <cellStyle name="Input 3 3 3 2 5" xfId="1296" xr:uid="{00000000-0005-0000-0000-0000C5020000}"/>
    <cellStyle name="Input 3 3 3 3" xfId="487" xr:uid="{00000000-0005-0000-0000-0000C6020000}"/>
    <cellStyle name="Input 3 3 3 3 2" xfId="847" xr:uid="{00000000-0005-0000-0000-0000C7020000}"/>
    <cellStyle name="Input 3 3 3 4" xfId="568" xr:uid="{00000000-0005-0000-0000-0000C8020000}"/>
    <cellStyle name="Input 3 3 3 4 2" xfId="928" xr:uid="{00000000-0005-0000-0000-0000C9020000}"/>
    <cellStyle name="Input 3 3 3 5" xfId="636" xr:uid="{00000000-0005-0000-0000-0000CA020000}"/>
    <cellStyle name="Input 3 3 3 6" xfId="1389" xr:uid="{00000000-0005-0000-0000-0000CB020000}"/>
    <cellStyle name="Input 3 3 3 7" xfId="1297" xr:uid="{00000000-0005-0000-0000-0000CC020000}"/>
    <cellStyle name="Input 3 3 4" xfId="346" xr:uid="{00000000-0005-0000-0000-0000CD020000}"/>
    <cellStyle name="Input 3 3 4 2" xfId="706" xr:uid="{00000000-0005-0000-0000-0000CE020000}"/>
    <cellStyle name="Input 3 3 4 2 2" xfId="1161" xr:uid="{00000000-0005-0000-0000-0000CF020000}"/>
    <cellStyle name="Input 3 3 4 3" xfId="1162" xr:uid="{00000000-0005-0000-0000-0000D0020000}"/>
    <cellStyle name="Input 3 3 4 4" xfId="1391" xr:uid="{00000000-0005-0000-0000-0000D1020000}"/>
    <cellStyle name="Input 3 3 4 5" xfId="1295" xr:uid="{00000000-0005-0000-0000-0000D2020000}"/>
    <cellStyle name="Input 3 3 5" xfId="427" xr:uid="{00000000-0005-0000-0000-0000D3020000}"/>
    <cellStyle name="Input 3 3 5 2" xfId="787" xr:uid="{00000000-0005-0000-0000-0000D4020000}"/>
    <cellStyle name="Input 3 3 6" xfId="508" xr:uid="{00000000-0005-0000-0000-0000D5020000}"/>
    <cellStyle name="Input 3 3 6 2" xfId="868" xr:uid="{00000000-0005-0000-0000-0000D6020000}"/>
    <cellStyle name="Input 3 3 7" xfId="596" xr:uid="{00000000-0005-0000-0000-0000D7020000}"/>
    <cellStyle name="Input 3 3 8" xfId="1386" xr:uid="{00000000-0005-0000-0000-0000D8020000}"/>
    <cellStyle name="Input 3 3 9" xfId="1300" xr:uid="{00000000-0005-0000-0000-0000D9020000}"/>
    <cellStyle name="Input 3 4" xfId="277" xr:uid="{00000000-0005-0000-0000-0000DA020000}"/>
    <cellStyle name="Input 3 4 2" xfId="363" xr:uid="{00000000-0005-0000-0000-0000DB020000}"/>
    <cellStyle name="Input 3 4 2 2" xfId="723" xr:uid="{00000000-0005-0000-0000-0000DC020000}"/>
    <cellStyle name="Input 3 4 2 2 2" xfId="1163" xr:uid="{00000000-0005-0000-0000-0000DD020000}"/>
    <cellStyle name="Input 3 4 2 3" xfId="1164" xr:uid="{00000000-0005-0000-0000-0000DE020000}"/>
    <cellStyle name="Input 3 4 2 4" xfId="1393" xr:uid="{00000000-0005-0000-0000-0000DF020000}"/>
    <cellStyle name="Input 3 4 2 5" xfId="1293" xr:uid="{00000000-0005-0000-0000-0000E0020000}"/>
    <cellStyle name="Input 3 4 3" xfId="444" xr:uid="{00000000-0005-0000-0000-0000E1020000}"/>
    <cellStyle name="Input 3 4 3 2" xfId="804" xr:uid="{00000000-0005-0000-0000-0000E2020000}"/>
    <cellStyle name="Input 3 4 4" xfId="525" xr:uid="{00000000-0005-0000-0000-0000E3020000}"/>
    <cellStyle name="Input 3 4 4 2" xfId="885" xr:uid="{00000000-0005-0000-0000-0000E4020000}"/>
    <cellStyle name="Input 3 4 5" xfId="637" xr:uid="{00000000-0005-0000-0000-0000E5020000}"/>
    <cellStyle name="Input 3 4 6" xfId="1392" xr:uid="{00000000-0005-0000-0000-0000E6020000}"/>
    <cellStyle name="Input 3 4 7" xfId="1294" xr:uid="{00000000-0005-0000-0000-0000E7020000}"/>
    <cellStyle name="Input 3 5" xfId="278" xr:uid="{00000000-0005-0000-0000-0000E8020000}"/>
    <cellStyle name="Input 3 5 2" xfId="391" xr:uid="{00000000-0005-0000-0000-0000E9020000}"/>
    <cellStyle name="Input 3 5 2 2" xfId="751" xr:uid="{00000000-0005-0000-0000-0000EA020000}"/>
    <cellStyle name="Input 3 5 2 2 2" xfId="1165" xr:uid="{00000000-0005-0000-0000-0000EB020000}"/>
    <cellStyle name="Input 3 5 2 3" xfId="1166" xr:uid="{00000000-0005-0000-0000-0000EC020000}"/>
    <cellStyle name="Input 3 5 2 4" xfId="1395" xr:uid="{00000000-0005-0000-0000-0000ED020000}"/>
    <cellStyle name="Input 3 5 2 5" xfId="1291" xr:uid="{00000000-0005-0000-0000-0000EE020000}"/>
    <cellStyle name="Input 3 5 3" xfId="472" xr:uid="{00000000-0005-0000-0000-0000EF020000}"/>
    <cellStyle name="Input 3 5 3 2" xfId="832" xr:uid="{00000000-0005-0000-0000-0000F0020000}"/>
    <cellStyle name="Input 3 5 4" xfId="553" xr:uid="{00000000-0005-0000-0000-0000F1020000}"/>
    <cellStyle name="Input 3 5 4 2" xfId="913" xr:uid="{00000000-0005-0000-0000-0000F2020000}"/>
    <cellStyle name="Input 3 5 5" xfId="638" xr:uid="{00000000-0005-0000-0000-0000F3020000}"/>
    <cellStyle name="Input 3 5 6" xfId="1394" xr:uid="{00000000-0005-0000-0000-0000F4020000}"/>
    <cellStyle name="Input 3 5 7" xfId="1292" xr:uid="{00000000-0005-0000-0000-0000F5020000}"/>
    <cellStyle name="Input 3 6" xfId="327" xr:uid="{00000000-0005-0000-0000-0000F6020000}"/>
    <cellStyle name="Input 3 6 2" xfId="687" xr:uid="{00000000-0005-0000-0000-0000F7020000}"/>
    <cellStyle name="Input 3 6 2 2" xfId="1167" xr:uid="{00000000-0005-0000-0000-0000F8020000}"/>
    <cellStyle name="Input 3 6 3" xfId="1168" xr:uid="{00000000-0005-0000-0000-0000F9020000}"/>
    <cellStyle name="Input 3 6 4" xfId="1396" xr:uid="{00000000-0005-0000-0000-0000FA020000}"/>
    <cellStyle name="Input 3 6 5" xfId="1290" xr:uid="{00000000-0005-0000-0000-0000FB020000}"/>
    <cellStyle name="Input 3 7" xfId="328" xr:uid="{00000000-0005-0000-0000-0000FC020000}"/>
    <cellStyle name="Input 3 7 2" xfId="688" xr:uid="{00000000-0005-0000-0000-0000FD020000}"/>
    <cellStyle name="Input 3 8" xfId="326" xr:uid="{00000000-0005-0000-0000-0000FE020000}"/>
    <cellStyle name="Input 3 8 2" xfId="686" xr:uid="{00000000-0005-0000-0000-0000FF020000}"/>
    <cellStyle name="Input 3 9" xfId="594" xr:uid="{00000000-0005-0000-0000-000000030000}"/>
    <cellStyle name="Linked Cell 2" xfId="124" xr:uid="{00000000-0005-0000-0000-000001030000}"/>
    <cellStyle name="Linked Cell 2 2" xfId="1169" xr:uid="{00000000-0005-0000-0000-000002030000}"/>
    <cellStyle name="Linked Cell 2 3" xfId="1170" xr:uid="{00000000-0005-0000-0000-000003030000}"/>
    <cellStyle name="Linked Cell 3" xfId="125" xr:uid="{00000000-0005-0000-0000-000004030000}"/>
    <cellStyle name="Neutral 2" xfId="126" xr:uid="{00000000-0005-0000-0000-000005030000}"/>
    <cellStyle name="Neutral 2 2" xfId="1171" xr:uid="{00000000-0005-0000-0000-000006030000}"/>
    <cellStyle name="Neutral 2 3" xfId="1172" xr:uid="{00000000-0005-0000-0000-000007030000}"/>
    <cellStyle name="Neutral 3" xfId="127" xr:uid="{00000000-0005-0000-0000-000008030000}"/>
    <cellStyle name="no dec" xfId="128" xr:uid="{00000000-0005-0000-0000-000009030000}"/>
    <cellStyle name="no dec 2" xfId="129" xr:uid="{00000000-0005-0000-0000-00000A030000}"/>
    <cellStyle name="no dec 3" xfId="130" xr:uid="{00000000-0005-0000-0000-00000B030000}"/>
    <cellStyle name="no dec 4" xfId="131" xr:uid="{00000000-0005-0000-0000-00000C030000}"/>
    <cellStyle name="no dec_Arkansas Quick Start Lighting Table (complete)" xfId="132" xr:uid="{00000000-0005-0000-0000-00000D030000}"/>
    <cellStyle name="Normal" xfId="0" builtinId="0"/>
    <cellStyle name="Normal 10" xfId="133" xr:uid="{00000000-0005-0000-0000-00000F030000}"/>
    <cellStyle name="Normal 11" xfId="134" xr:uid="{00000000-0005-0000-0000-000010030000}"/>
    <cellStyle name="Normal 12" xfId="135" xr:uid="{00000000-0005-0000-0000-000011030000}"/>
    <cellStyle name="Normal 13" xfId="136" xr:uid="{00000000-0005-0000-0000-000012030000}"/>
    <cellStyle name="Normal 14" xfId="137" xr:uid="{00000000-0005-0000-0000-000013030000}"/>
    <cellStyle name="Normal 15" xfId="138" xr:uid="{00000000-0005-0000-0000-000014030000}"/>
    <cellStyle name="Normal 16" xfId="139" xr:uid="{00000000-0005-0000-0000-000015030000}"/>
    <cellStyle name="Normal 17" xfId="140" xr:uid="{00000000-0005-0000-0000-000016030000}"/>
    <cellStyle name="Normal 18" xfId="141" xr:uid="{00000000-0005-0000-0000-000017030000}"/>
    <cellStyle name="Normal 19" xfId="142" xr:uid="{00000000-0005-0000-0000-000018030000}"/>
    <cellStyle name="Normal 2" xfId="143" xr:uid="{00000000-0005-0000-0000-000019030000}"/>
    <cellStyle name="Normal 2 2" xfId="144" xr:uid="{00000000-0005-0000-0000-00001A030000}"/>
    <cellStyle name="Normal 2 2 2" xfId="145" xr:uid="{00000000-0005-0000-0000-00001B030000}"/>
    <cellStyle name="Normal 2 3" xfId="146" xr:uid="{00000000-0005-0000-0000-00001C030000}"/>
    <cellStyle name="Normal 2 4" xfId="147" xr:uid="{00000000-0005-0000-0000-00001D030000}"/>
    <cellStyle name="Normal 2 5" xfId="148" xr:uid="{00000000-0005-0000-0000-00001E030000}"/>
    <cellStyle name="Normal 20" xfId="149" xr:uid="{00000000-0005-0000-0000-00001F030000}"/>
    <cellStyle name="Normal 21" xfId="150" xr:uid="{00000000-0005-0000-0000-000020030000}"/>
    <cellStyle name="Normal 22" xfId="151" xr:uid="{00000000-0005-0000-0000-000021030000}"/>
    <cellStyle name="Normal 23" xfId="152" xr:uid="{00000000-0005-0000-0000-000022030000}"/>
    <cellStyle name="Normal 24" xfId="153" xr:uid="{00000000-0005-0000-0000-000023030000}"/>
    <cellStyle name="Normal 25" xfId="154" xr:uid="{00000000-0005-0000-0000-000024030000}"/>
    <cellStyle name="Normal 26" xfId="155" xr:uid="{00000000-0005-0000-0000-000025030000}"/>
    <cellStyle name="Normal 27" xfId="156" xr:uid="{00000000-0005-0000-0000-000026030000}"/>
    <cellStyle name="Normal 28" xfId="157" xr:uid="{00000000-0005-0000-0000-000027030000}"/>
    <cellStyle name="Normal 29" xfId="158" xr:uid="{00000000-0005-0000-0000-000028030000}"/>
    <cellStyle name="Normal 3" xfId="159" xr:uid="{00000000-0005-0000-0000-000029030000}"/>
    <cellStyle name="Normal 3 2" xfId="160" xr:uid="{00000000-0005-0000-0000-00002A030000}"/>
    <cellStyle name="Normal 30" xfId="161" xr:uid="{00000000-0005-0000-0000-00002B030000}"/>
    <cellStyle name="Normal 31" xfId="162" xr:uid="{00000000-0005-0000-0000-00002C030000}"/>
    <cellStyle name="Normal 32" xfId="163" xr:uid="{00000000-0005-0000-0000-00002D030000}"/>
    <cellStyle name="Normal 33" xfId="164" xr:uid="{00000000-0005-0000-0000-00002E030000}"/>
    <cellStyle name="Normal 34" xfId="165" xr:uid="{00000000-0005-0000-0000-00002F030000}"/>
    <cellStyle name="Normal 35" xfId="166" xr:uid="{00000000-0005-0000-0000-000030030000}"/>
    <cellStyle name="Normal 36" xfId="167" xr:uid="{00000000-0005-0000-0000-000031030000}"/>
    <cellStyle name="Normal 37" xfId="168" xr:uid="{00000000-0005-0000-0000-000032030000}"/>
    <cellStyle name="Normal 38" xfId="169" xr:uid="{00000000-0005-0000-0000-000033030000}"/>
    <cellStyle name="Normal 39" xfId="170" xr:uid="{00000000-0005-0000-0000-000034030000}"/>
    <cellStyle name="Normal 4" xfId="171" xr:uid="{00000000-0005-0000-0000-000035030000}"/>
    <cellStyle name="Normal 4 2" xfId="172" xr:uid="{00000000-0005-0000-0000-000036030000}"/>
    <cellStyle name="Normal 4 3" xfId="173" xr:uid="{00000000-0005-0000-0000-000037030000}"/>
    <cellStyle name="Normal 4 4" xfId="174" xr:uid="{00000000-0005-0000-0000-000038030000}"/>
    <cellStyle name="Normal 4 5" xfId="175" xr:uid="{00000000-0005-0000-0000-000039030000}"/>
    <cellStyle name="Normal 4 6" xfId="176" xr:uid="{00000000-0005-0000-0000-00003A030000}"/>
    <cellStyle name="Normal 4 7" xfId="177" xr:uid="{00000000-0005-0000-0000-00003B030000}"/>
    <cellStyle name="Normal 4 8" xfId="178" xr:uid="{00000000-0005-0000-0000-00003C030000}"/>
    <cellStyle name="Normal 40" xfId="179" xr:uid="{00000000-0005-0000-0000-00003D030000}"/>
    <cellStyle name="Normal 41" xfId="180" xr:uid="{00000000-0005-0000-0000-00003E030000}"/>
    <cellStyle name="Normal 42" xfId="181" xr:uid="{00000000-0005-0000-0000-00003F030000}"/>
    <cellStyle name="Normal 43" xfId="182" xr:uid="{00000000-0005-0000-0000-000040030000}"/>
    <cellStyle name="Normal 44" xfId="183" xr:uid="{00000000-0005-0000-0000-000041030000}"/>
    <cellStyle name="Normal 45" xfId="184" xr:uid="{00000000-0005-0000-0000-000042030000}"/>
    <cellStyle name="Normal 46" xfId="185" xr:uid="{00000000-0005-0000-0000-000043030000}"/>
    <cellStyle name="Normal 47" xfId="186" xr:uid="{00000000-0005-0000-0000-000044030000}"/>
    <cellStyle name="Normal 47 2" xfId="187" xr:uid="{00000000-0005-0000-0000-000045030000}"/>
    <cellStyle name="Normal 5" xfId="188" xr:uid="{00000000-0005-0000-0000-000046030000}"/>
    <cellStyle name="Normal 5 2" xfId="189" xr:uid="{00000000-0005-0000-0000-000047030000}"/>
    <cellStyle name="Normal 5 3" xfId="190" xr:uid="{00000000-0005-0000-0000-000048030000}"/>
    <cellStyle name="Normal 5 4" xfId="191" xr:uid="{00000000-0005-0000-0000-000049030000}"/>
    <cellStyle name="Normal 5 5" xfId="192" xr:uid="{00000000-0005-0000-0000-00004A030000}"/>
    <cellStyle name="Normal 5 6" xfId="193" xr:uid="{00000000-0005-0000-0000-00004B030000}"/>
    <cellStyle name="Normal 5 7" xfId="194" xr:uid="{00000000-0005-0000-0000-00004C030000}"/>
    <cellStyle name="Normal 5 8" xfId="195" xr:uid="{00000000-0005-0000-0000-00004D030000}"/>
    <cellStyle name="Normal 5 9" xfId="196" xr:uid="{00000000-0005-0000-0000-00004E030000}"/>
    <cellStyle name="Normal 6" xfId="197" xr:uid="{00000000-0005-0000-0000-00004F030000}"/>
    <cellStyle name="Normal 6 2" xfId="198" xr:uid="{00000000-0005-0000-0000-000050030000}"/>
    <cellStyle name="Normal 6 3" xfId="199" xr:uid="{00000000-0005-0000-0000-000051030000}"/>
    <cellStyle name="Normal 6 4" xfId="200" xr:uid="{00000000-0005-0000-0000-000052030000}"/>
    <cellStyle name="Normal 6 5" xfId="201" xr:uid="{00000000-0005-0000-0000-000053030000}"/>
    <cellStyle name="Normal 6 6" xfId="202" xr:uid="{00000000-0005-0000-0000-000054030000}"/>
    <cellStyle name="Normal 6 7" xfId="203" xr:uid="{00000000-0005-0000-0000-000055030000}"/>
    <cellStyle name="Normal 6 8" xfId="204" xr:uid="{00000000-0005-0000-0000-000056030000}"/>
    <cellStyle name="Normal 6 9" xfId="205" xr:uid="{00000000-0005-0000-0000-000057030000}"/>
    <cellStyle name="Normal 7" xfId="206" xr:uid="{00000000-0005-0000-0000-000058030000}"/>
    <cellStyle name="Normal 8" xfId="207" xr:uid="{00000000-0005-0000-0000-000059030000}"/>
    <cellStyle name="Normal 9" xfId="208" xr:uid="{00000000-0005-0000-0000-00005A030000}"/>
    <cellStyle name="Normal 9 2" xfId="209" xr:uid="{00000000-0005-0000-0000-00005B030000}"/>
    <cellStyle name="Note 2" xfId="210" xr:uid="{00000000-0005-0000-0000-00005C030000}"/>
    <cellStyle name="Note 2 10" xfId="1540" xr:uid="{00000000-0005-0000-0000-00005D030000}"/>
    <cellStyle name="Note 2 2" xfId="211" xr:uid="{00000000-0005-0000-0000-00005E030000}"/>
    <cellStyle name="Note 2 2 2" xfId="279" xr:uid="{00000000-0005-0000-0000-00005F030000}"/>
    <cellStyle name="Note 2 2 2 2" xfId="376" xr:uid="{00000000-0005-0000-0000-000060030000}"/>
    <cellStyle name="Note 2 2 2 2 2" xfId="736" xr:uid="{00000000-0005-0000-0000-000061030000}"/>
    <cellStyle name="Note 2 2 2 2 2 2" xfId="1173" xr:uid="{00000000-0005-0000-0000-000062030000}"/>
    <cellStyle name="Note 2 2 2 2 3" xfId="1174" xr:uid="{00000000-0005-0000-0000-000063030000}"/>
    <cellStyle name="Note 2 2 2 2 4" xfId="1435" xr:uid="{00000000-0005-0000-0000-000064030000}"/>
    <cellStyle name="Note 2 2 2 2 5" xfId="1543" xr:uid="{00000000-0005-0000-0000-000065030000}"/>
    <cellStyle name="Note 2 2 2 3" xfId="457" xr:uid="{00000000-0005-0000-0000-000066030000}"/>
    <cellStyle name="Note 2 2 2 3 2" xfId="817" xr:uid="{00000000-0005-0000-0000-000067030000}"/>
    <cellStyle name="Note 2 2 2 4" xfId="538" xr:uid="{00000000-0005-0000-0000-000068030000}"/>
    <cellStyle name="Note 2 2 2 4 2" xfId="898" xr:uid="{00000000-0005-0000-0000-000069030000}"/>
    <cellStyle name="Note 2 2 2 5" xfId="639" xr:uid="{00000000-0005-0000-0000-00006A030000}"/>
    <cellStyle name="Note 2 2 2 6" xfId="1434" xr:uid="{00000000-0005-0000-0000-00006B030000}"/>
    <cellStyle name="Note 2 2 2 7" xfId="1542" xr:uid="{00000000-0005-0000-0000-00006C030000}"/>
    <cellStyle name="Note 2 2 3" xfId="280" xr:uid="{00000000-0005-0000-0000-00006D030000}"/>
    <cellStyle name="Note 2 2 3 2" xfId="410" xr:uid="{00000000-0005-0000-0000-00006E030000}"/>
    <cellStyle name="Note 2 2 3 2 2" xfId="770" xr:uid="{00000000-0005-0000-0000-00006F030000}"/>
    <cellStyle name="Note 2 2 3 2 2 2" xfId="1175" xr:uid="{00000000-0005-0000-0000-000070030000}"/>
    <cellStyle name="Note 2 2 3 2 3" xfId="1176" xr:uid="{00000000-0005-0000-0000-000071030000}"/>
    <cellStyle name="Note 2 2 3 2 4" xfId="1437" xr:uid="{00000000-0005-0000-0000-000072030000}"/>
    <cellStyle name="Note 2 2 3 2 5" xfId="1545" xr:uid="{00000000-0005-0000-0000-000073030000}"/>
    <cellStyle name="Note 2 2 3 3" xfId="491" xr:uid="{00000000-0005-0000-0000-000074030000}"/>
    <cellStyle name="Note 2 2 3 3 2" xfId="851" xr:uid="{00000000-0005-0000-0000-000075030000}"/>
    <cellStyle name="Note 2 2 3 4" xfId="572" xr:uid="{00000000-0005-0000-0000-000076030000}"/>
    <cellStyle name="Note 2 2 3 4 2" xfId="932" xr:uid="{00000000-0005-0000-0000-000077030000}"/>
    <cellStyle name="Note 2 2 3 5" xfId="640" xr:uid="{00000000-0005-0000-0000-000078030000}"/>
    <cellStyle name="Note 2 2 3 6" xfId="1436" xr:uid="{00000000-0005-0000-0000-000079030000}"/>
    <cellStyle name="Note 2 2 3 7" xfId="1544" xr:uid="{00000000-0005-0000-0000-00007A030000}"/>
    <cellStyle name="Note 2 2 4" xfId="350" xr:uid="{00000000-0005-0000-0000-00007B030000}"/>
    <cellStyle name="Note 2 2 4 2" xfId="710" xr:uid="{00000000-0005-0000-0000-00007C030000}"/>
    <cellStyle name="Note 2 2 4 2 2" xfId="1177" xr:uid="{00000000-0005-0000-0000-00007D030000}"/>
    <cellStyle name="Note 2 2 4 3" xfId="1178" xr:uid="{00000000-0005-0000-0000-00007E030000}"/>
    <cellStyle name="Note 2 2 4 4" xfId="1438" xr:uid="{00000000-0005-0000-0000-00007F030000}"/>
    <cellStyle name="Note 2 2 4 5" xfId="1546" xr:uid="{00000000-0005-0000-0000-000080030000}"/>
    <cellStyle name="Note 2 2 5" xfId="431" xr:uid="{00000000-0005-0000-0000-000081030000}"/>
    <cellStyle name="Note 2 2 5 2" xfId="791" xr:uid="{00000000-0005-0000-0000-000082030000}"/>
    <cellStyle name="Note 2 2 6" xfId="512" xr:uid="{00000000-0005-0000-0000-000083030000}"/>
    <cellStyle name="Note 2 2 6 2" xfId="872" xr:uid="{00000000-0005-0000-0000-000084030000}"/>
    <cellStyle name="Note 2 2 7" xfId="598" xr:uid="{00000000-0005-0000-0000-000085030000}"/>
    <cellStyle name="Note 2 2 8" xfId="1433" xr:uid="{00000000-0005-0000-0000-000086030000}"/>
    <cellStyle name="Note 2 2 9" xfId="1541" xr:uid="{00000000-0005-0000-0000-000087030000}"/>
    <cellStyle name="Note 2 3" xfId="281" xr:uid="{00000000-0005-0000-0000-000088030000}"/>
    <cellStyle name="Note 2 3 2" xfId="399" xr:uid="{00000000-0005-0000-0000-000089030000}"/>
    <cellStyle name="Note 2 3 2 2" xfId="759" xr:uid="{00000000-0005-0000-0000-00008A030000}"/>
    <cellStyle name="Note 2 3 2 2 2" xfId="1179" xr:uid="{00000000-0005-0000-0000-00008B030000}"/>
    <cellStyle name="Note 2 3 2 3" xfId="1180" xr:uid="{00000000-0005-0000-0000-00008C030000}"/>
    <cellStyle name="Note 2 3 2 4" xfId="1440" xr:uid="{00000000-0005-0000-0000-00008D030000}"/>
    <cellStyle name="Note 2 3 2 5" xfId="1548" xr:uid="{00000000-0005-0000-0000-00008E030000}"/>
    <cellStyle name="Note 2 3 3" xfId="480" xr:uid="{00000000-0005-0000-0000-00008F030000}"/>
    <cellStyle name="Note 2 3 3 2" xfId="840" xr:uid="{00000000-0005-0000-0000-000090030000}"/>
    <cellStyle name="Note 2 3 4" xfId="561" xr:uid="{00000000-0005-0000-0000-000091030000}"/>
    <cellStyle name="Note 2 3 4 2" xfId="921" xr:uid="{00000000-0005-0000-0000-000092030000}"/>
    <cellStyle name="Note 2 3 5" xfId="641" xr:uid="{00000000-0005-0000-0000-000093030000}"/>
    <cellStyle name="Note 2 3 6" xfId="1439" xr:uid="{00000000-0005-0000-0000-000094030000}"/>
    <cellStyle name="Note 2 3 7" xfId="1547" xr:uid="{00000000-0005-0000-0000-000095030000}"/>
    <cellStyle name="Note 2 4" xfId="282" xr:uid="{00000000-0005-0000-0000-000096030000}"/>
    <cellStyle name="Note 2 4 2" xfId="395" xr:uid="{00000000-0005-0000-0000-000097030000}"/>
    <cellStyle name="Note 2 4 2 2" xfId="755" xr:uid="{00000000-0005-0000-0000-000098030000}"/>
    <cellStyle name="Note 2 4 2 2 2" xfId="1181" xr:uid="{00000000-0005-0000-0000-000099030000}"/>
    <cellStyle name="Note 2 4 2 3" xfId="1182" xr:uid="{00000000-0005-0000-0000-00009A030000}"/>
    <cellStyle name="Note 2 4 2 4" xfId="1442" xr:uid="{00000000-0005-0000-0000-00009B030000}"/>
    <cellStyle name="Note 2 4 2 5" xfId="1550" xr:uid="{00000000-0005-0000-0000-00009C030000}"/>
    <cellStyle name="Note 2 4 3" xfId="476" xr:uid="{00000000-0005-0000-0000-00009D030000}"/>
    <cellStyle name="Note 2 4 3 2" xfId="836" xr:uid="{00000000-0005-0000-0000-00009E030000}"/>
    <cellStyle name="Note 2 4 4" xfId="557" xr:uid="{00000000-0005-0000-0000-00009F030000}"/>
    <cellStyle name="Note 2 4 4 2" xfId="917" xr:uid="{00000000-0005-0000-0000-0000A0030000}"/>
    <cellStyle name="Note 2 4 5" xfId="642" xr:uid="{00000000-0005-0000-0000-0000A1030000}"/>
    <cellStyle name="Note 2 4 6" xfId="1441" xr:uid="{00000000-0005-0000-0000-0000A2030000}"/>
    <cellStyle name="Note 2 4 7" xfId="1549" xr:uid="{00000000-0005-0000-0000-0000A3030000}"/>
    <cellStyle name="Note 2 5" xfId="336" xr:uid="{00000000-0005-0000-0000-0000A4030000}"/>
    <cellStyle name="Note 2 5 2" xfId="696" xr:uid="{00000000-0005-0000-0000-0000A5030000}"/>
    <cellStyle name="Note 2 5 2 2" xfId="1183" xr:uid="{00000000-0005-0000-0000-0000A6030000}"/>
    <cellStyle name="Note 2 5 3" xfId="1184" xr:uid="{00000000-0005-0000-0000-0000A7030000}"/>
    <cellStyle name="Note 2 5 4" xfId="1443" xr:uid="{00000000-0005-0000-0000-0000A8030000}"/>
    <cellStyle name="Note 2 5 5" xfId="1551" xr:uid="{00000000-0005-0000-0000-0000A9030000}"/>
    <cellStyle name="Note 2 6" xfId="319" xr:uid="{00000000-0005-0000-0000-0000AA030000}"/>
    <cellStyle name="Note 2 6 2" xfId="679" xr:uid="{00000000-0005-0000-0000-0000AB030000}"/>
    <cellStyle name="Note 2 7" xfId="332" xr:uid="{00000000-0005-0000-0000-0000AC030000}"/>
    <cellStyle name="Note 2 7 2" xfId="692" xr:uid="{00000000-0005-0000-0000-0000AD030000}"/>
    <cellStyle name="Note 2 8" xfId="597" xr:uid="{00000000-0005-0000-0000-0000AE030000}"/>
    <cellStyle name="Note 2 9" xfId="1432" xr:uid="{00000000-0005-0000-0000-0000AF030000}"/>
    <cellStyle name="Note 3" xfId="212" xr:uid="{00000000-0005-0000-0000-0000B0030000}"/>
    <cellStyle name="Note 3 10" xfId="1552" xr:uid="{00000000-0005-0000-0000-0000B1030000}"/>
    <cellStyle name="Note 3 2" xfId="213" xr:uid="{00000000-0005-0000-0000-0000B2030000}"/>
    <cellStyle name="Note 3 2 2" xfId="283" xr:uid="{00000000-0005-0000-0000-0000B3030000}"/>
    <cellStyle name="Note 3 2 2 2" xfId="377" xr:uid="{00000000-0005-0000-0000-0000B4030000}"/>
    <cellStyle name="Note 3 2 2 2 2" xfId="737" xr:uid="{00000000-0005-0000-0000-0000B5030000}"/>
    <cellStyle name="Note 3 2 2 2 2 2" xfId="1185" xr:uid="{00000000-0005-0000-0000-0000B6030000}"/>
    <cellStyle name="Note 3 2 2 2 3" xfId="1186" xr:uid="{00000000-0005-0000-0000-0000B7030000}"/>
    <cellStyle name="Note 3 2 2 2 4" xfId="1447" xr:uid="{00000000-0005-0000-0000-0000B8030000}"/>
    <cellStyle name="Note 3 2 2 2 5" xfId="1555" xr:uid="{00000000-0005-0000-0000-0000B9030000}"/>
    <cellStyle name="Note 3 2 2 3" xfId="458" xr:uid="{00000000-0005-0000-0000-0000BA030000}"/>
    <cellStyle name="Note 3 2 2 3 2" xfId="818" xr:uid="{00000000-0005-0000-0000-0000BB030000}"/>
    <cellStyle name="Note 3 2 2 4" xfId="539" xr:uid="{00000000-0005-0000-0000-0000BC030000}"/>
    <cellStyle name="Note 3 2 2 4 2" xfId="899" xr:uid="{00000000-0005-0000-0000-0000BD030000}"/>
    <cellStyle name="Note 3 2 2 5" xfId="643" xr:uid="{00000000-0005-0000-0000-0000BE030000}"/>
    <cellStyle name="Note 3 2 2 6" xfId="1446" xr:uid="{00000000-0005-0000-0000-0000BF030000}"/>
    <cellStyle name="Note 3 2 2 7" xfId="1554" xr:uid="{00000000-0005-0000-0000-0000C0030000}"/>
    <cellStyle name="Note 3 2 3" xfId="284" xr:uid="{00000000-0005-0000-0000-0000C1030000}"/>
    <cellStyle name="Note 3 2 3 2" xfId="409" xr:uid="{00000000-0005-0000-0000-0000C2030000}"/>
    <cellStyle name="Note 3 2 3 2 2" xfId="769" xr:uid="{00000000-0005-0000-0000-0000C3030000}"/>
    <cellStyle name="Note 3 2 3 2 2 2" xfId="1187" xr:uid="{00000000-0005-0000-0000-0000C4030000}"/>
    <cellStyle name="Note 3 2 3 2 3" xfId="1188" xr:uid="{00000000-0005-0000-0000-0000C5030000}"/>
    <cellStyle name="Note 3 2 3 2 4" xfId="1449" xr:uid="{00000000-0005-0000-0000-0000C6030000}"/>
    <cellStyle name="Note 3 2 3 2 5" xfId="1557" xr:uid="{00000000-0005-0000-0000-0000C7030000}"/>
    <cellStyle name="Note 3 2 3 3" xfId="490" xr:uid="{00000000-0005-0000-0000-0000C8030000}"/>
    <cellStyle name="Note 3 2 3 3 2" xfId="850" xr:uid="{00000000-0005-0000-0000-0000C9030000}"/>
    <cellStyle name="Note 3 2 3 4" xfId="571" xr:uid="{00000000-0005-0000-0000-0000CA030000}"/>
    <cellStyle name="Note 3 2 3 4 2" xfId="931" xr:uid="{00000000-0005-0000-0000-0000CB030000}"/>
    <cellStyle name="Note 3 2 3 5" xfId="644" xr:uid="{00000000-0005-0000-0000-0000CC030000}"/>
    <cellStyle name="Note 3 2 3 6" xfId="1448" xr:uid="{00000000-0005-0000-0000-0000CD030000}"/>
    <cellStyle name="Note 3 2 3 7" xfId="1556" xr:uid="{00000000-0005-0000-0000-0000CE030000}"/>
    <cellStyle name="Note 3 2 4" xfId="349" xr:uid="{00000000-0005-0000-0000-0000CF030000}"/>
    <cellStyle name="Note 3 2 4 2" xfId="709" xr:uid="{00000000-0005-0000-0000-0000D0030000}"/>
    <cellStyle name="Note 3 2 4 2 2" xfId="1189" xr:uid="{00000000-0005-0000-0000-0000D1030000}"/>
    <cellStyle name="Note 3 2 4 3" xfId="1190" xr:uid="{00000000-0005-0000-0000-0000D2030000}"/>
    <cellStyle name="Note 3 2 4 4" xfId="1450" xr:uid="{00000000-0005-0000-0000-0000D3030000}"/>
    <cellStyle name="Note 3 2 4 5" xfId="1558" xr:uid="{00000000-0005-0000-0000-0000D4030000}"/>
    <cellStyle name="Note 3 2 5" xfId="430" xr:uid="{00000000-0005-0000-0000-0000D5030000}"/>
    <cellStyle name="Note 3 2 5 2" xfId="790" xr:uid="{00000000-0005-0000-0000-0000D6030000}"/>
    <cellStyle name="Note 3 2 6" xfId="511" xr:uid="{00000000-0005-0000-0000-0000D7030000}"/>
    <cellStyle name="Note 3 2 6 2" xfId="871" xr:uid="{00000000-0005-0000-0000-0000D8030000}"/>
    <cellStyle name="Note 3 2 7" xfId="600" xr:uid="{00000000-0005-0000-0000-0000D9030000}"/>
    <cellStyle name="Note 3 2 8" xfId="1445" xr:uid="{00000000-0005-0000-0000-0000DA030000}"/>
    <cellStyle name="Note 3 2 9" xfId="1553" xr:uid="{00000000-0005-0000-0000-0000DB030000}"/>
    <cellStyle name="Note 3 3" xfId="285" xr:uid="{00000000-0005-0000-0000-0000DC030000}"/>
    <cellStyle name="Note 3 3 2" xfId="400" xr:uid="{00000000-0005-0000-0000-0000DD030000}"/>
    <cellStyle name="Note 3 3 2 2" xfId="760" xr:uid="{00000000-0005-0000-0000-0000DE030000}"/>
    <cellStyle name="Note 3 3 2 2 2" xfId="1191" xr:uid="{00000000-0005-0000-0000-0000DF030000}"/>
    <cellStyle name="Note 3 3 2 3" xfId="1192" xr:uid="{00000000-0005-0000-0000-0000E0030000}"/>
    <cellStyle name="Note 3 3 2 4" xfId="1452" xr:uid="{00000000-0005-0000-0000-0000E1030000}"/>
    <cellStyle name="Note 3 3 2 5" xfId="1560" xr:uid="{00000000-0005-0000-0000-0000E2030000}"/>
    <cellStyle name="Note 3 3 3" xfId="481" xr:uid="{00000000-0005-0000-0000-0000E3030000}"/>
    <cellStyle name="Note 3 3 3 2" xfId="841" xr:uid="{00000000-0005-0000-0000-0000E4030000}"/>
    <cellStyle name="Note 3 3 4" xfId="562" xr:uid="{00000000-0005-0000-0000-0000E5030000}"/>
    <cellStyle name="Note 3 3 4 2" xfId="922" xr:uid="{00000000-0005-0000-0000-0000E6030000}"/>
    <cellStyle name="Note 3 3 5" xfId="645" xr:uid="{00000000-0005-0000-0000-0000E7030000}"/>
    <cellStyle name="Note 3 3 6" xfId="1451" xr:uid="{00000000-0005-0000-0000-0000E8030000}"/>
    <cellStyle name="Note 3 3 7" xfId="1559" xr:uid="{00000000-0005-0000-0000-0000E9030000}"/>
    <cellStyle name="Note 3 4" xfId="286" xr:uid="{00000000-0005-0000-0000-0000EA030000}"/>
    <cellStyle name="Note 3 4 2" xfId="396" xr:uid="{00000000-0005-0000-0000-0000EB030000}"/>
    <cellStyle name="Note 3 4 2 2" xfId="756" xr:uid="{00000000-0005-0000-0000-0000EC030000}"/>
    <cellStyle name="Note 3 4 2 2 2" xfId="1193" xr:uid="{00000000-0005-0000-0000-0000ED030000}"/>
    <cellStyle name="Note 3 4 2 3" xfId="1194" xr:uid="{00000000-0005-0000-0000-0000EE030000}"/>
    <cellStyle name="Note 3 4 2 4" xfId="1454" xr:uid="{00000000-0005-0000-0000-0000EF030000}"/>
    <cellStyle name="Note 3 4 2 5" xfId="1562" xr:uid="{00000000-0005-0000-0000-0000F0030000}"/>
    <cellStyle name="Note 3 4 3" xfId="477" xr:uid="{00000000-0005-0000-0000-0000F1030000}"/>
    <cellStyle name="Note 3 4 3 2" xfId="837" xr:uid="{00000000-0005-0000-0000-0000F2030000}"/>
    <cellStyle name="Note 3 4 4" xfId="558" xr:uid="{00000000-0005-0000-0000-0000F3030000}"/>
    <cellStyle name="Note 3 4 4 2" xfId="918" xr:uid="{00000000-0005-0000-0000-0000F4030000}"/>
    <cellStyle name="Note 3 4 5" xfId="646" xr:uid="{00000000-0005-0000-0000-0000F5030000}"/>
    <cellStyle name="Note 3 4 6" xfId="1453" xr:uid="{00000000-0005-0000-0000-0000F6030000}"/>
    <cellStyle name="Note 3 4 7" xfId="1561" xr:uid="{00000000-0005-0000-0000-0000F7030000}"/>
    <cellStyle name="Note 3 5" xfId="337" xr:uid="{00000000-0005-0000-0000-0000F8030000}"/>
    <cellStyle name="Note 3 5 2" xfId="697" xr:uid="{00000000-0005-0000-0000-0000F9030000}"/>
    <cellStyle name="Note 3 5 2 2" xfId="1195" xr:uid="{00000000-0005-0000-0000-0000FA030000}"/>
    <cellStyle name="Note 3 5 3" xfId="1196" xr:uid="{00000000-0005-0000-0000-0000FB030000}"/>
    <cellStyle name="Note 3 5 4" xfId="1455" xr:uid="{00000000-0005-0000-0000-0000FC030000}"/>
    <cellStyle name="Note 3 5 5" xfId="1563" xr:uid="{00000000-0005-0000-0000-0000FD030000}"/>
    <cellStyle name="Note 3 6" xfId="318" xr:uid="{00000000-0005-0000-0000-0000FE030000}"/>
    <cellStyle name="Note 3 6 2" xfId="678" xr:uid="{00000000-0005-0000-0000-0000FF030000}"/>
    <cellStyle name="Note 3 7" xfId="333" xr:uid="{00000000-0005-0000-0000-000000040000}"/>
    <cellStyle name="Note 3 7 2" xfId="693" xr:uid="{00000000-0005-0000-0000-000001040000}"/>
    <cellStyle name="Note 3 8" xfId="599" xr:uid="{00000000-0005-0000-0000-000002040000}"/>
    <cellStyle name="Note 3 9" xfId="1444" xr:uid="{00000000-0005-0000-0000-000003040000}"/>
    <cellStyle name="Output 2" xfId="214" xr:uid="{00000000-0005-0000-0000-000004040000}"/>
    <cellStyle name="Output 2 10" xfId="1456" xr:uid="{00000000-0005-0000-0000-000005040000}"/>
    <cellStyle name="Output 2 11" xfId="1564" xr:uid="{00000000-0005-0000-0000-000006040000}"/>
    <cellStyle name="Output 2 2" xfId="215" xr:uid="{00000000-0005-0000-0000-000007040000}"/>
    <cellStyle name="Output 2 2 10" xfId="1565" xr:uid="{00000000-0005-0000-0000-000008040000}"/>
    <cellStyle name="Output 2 2 2" xfId="216" xr:uid="{00000000-0005-0000-0000-000009040000}"/>
    <cellStyle name="Output 2 2 2 2" xfId="287" xr:uid="{00000000-0005-0000-0000-00000A040000}"/>
    <cellStyle name="Output 2 2 2 2 2" xfId="365" xr:uid="{00000000-0005-0000-0000-00000B040000}"/>
    <cellStyle name="Output 2 2 2 2 2 2" xfId="725" xr:uid="{00000000-0005-0000-0000-00000C040000}"/>
    <cellStyle name="Output 2 2 2 2 2 2 2" xfId="1197" xr:uid="{00000000-0005-0000-0000-00000D040000}"/>
    <cellStyle name="Output 2 2 2 2 2 3" xfId="1198" xr:uid="{00000000-0005-0000-0000-00000E040000}"/>
    <cellStyle name="Output 2 2 2 2 2 4" xfId="1460" xr:uid="{00000000-0005-0000-0000-00000F040000}"/>
    <cellStyle name="Output 2 2 2 2 2 5" xfId="1568" xr:uid="{00000000-0005-0000-0000-000010040000}"/>
    <cellStyle name="Output 2 2 2 2 3" xfId="446" xr:uid="{00000000-0005-0000-0000-000011040000}"/>
    <cellStyle name="Output 2 2 2 2 3 2" xfId="806" xr:uid="{00000000-0005-0000-0000-000012040000}"/>
    <cellStyle name="Output 2 2 2 2 4" xfId="527" xr:uid="{00000000-0005-0000-0000-000013040000}"/>
    <cellStyle name="Output 2 2 2 2 4 2" xfId="887" xr:uid="{00000000-0005-0000-0000-000014040000}"/>
    <cellStyle name="Output 2 2 2 2 5" xfId="647" xr:uid="{00000000-0005-0000-0000-000015040000}"/>
    <cellStyle name="Output 2 2 2 2 6" xfId="1459" xr:uid="{00000000-0005-0000-0000-000016040000}"/>
    <cellStyle name="Output 2 2 2 2 7" xfId="1567" xr:uid="{00000000-0005-0000-0000-000017040000}"/>
    <cellStyle name="Output 2 2 2 3" xfId="288" xr:uid="{00000000-0005-0000-0000-000018040000}"/>
    <cellStyle name="Output 2 2 2 3 2" xfId="421" xr:uid="{00000000-0005-0000-0000-000019040000}"/>
    <cellStyle name="Output 2 2 2 3 2 2" xfId="781" xr:uid="{00000000-0005-0000-0000-00001A040000}"/>
    <cellStyle name="Output 2 2 2 3 2 2 2" xfId="1199" xr:uid="{00000000-0005-0000-0000-00001B040000}"/>
    <cellStyle name="Output 2 2 2 3 2 3" xfId="1200" xr:uid="{00000000-0005-0000-0000-00001C040000}"/>
    <cellStyle name="Output 2 2 2 3 2 4" xfId="1462" xr:uid="{00000000-0005-0000-0000-00001D040000}"/>
    <cellStyle name="Output 2 2 2 3 2 5" xfId="1570" xr:uid="{00000000-0005-0000-0000-00001E040000}"/>
    <cellStyle name="Output 2 2 2 3 3" xfId="502" xr:uid="{00000000-0005-0000-0000-00001F040000}"/>
    <cellStyle name="Output 2 2 2 3 3 2" xfId="862" xr:uid="{00000000-0005-0000-0000-000020040000}"/>
    <cellStyle name="Output 2 2 2 3 4" xfId="583" xr:uid="{00000000-0005-0000-0000-000021040000}"/>
    <cellStyle name="Output 2 2 2 3 4 2" xfId="943" xr:uid="{00000000-0005-0000-0000-000022040000}"/>
    <cellStyle name="Output 2 2 2 3 5" xfId="648" xr:uid="{00000000-0005-0000-0000-000023040000}"/>
    <cellStyle name="Output 2 2 2 3 6" xfId="1461" xr:uid="{00000000-0005-0000-0000-000024040000}"/>
    <cellStyle name="Output 2 2 2 3 7" xfId="1569" xr:uid="{00000000-0005-0000-0000-000025040000}"/>
    <cellStyle name="Output 2 2 2 4" xfId="361" xr:uid="{00000000-0005-0000-0000-000026040000}"/>
    <cellStyle name="Output 2 2 2 4 2" xfId="721" xr:uid="{00000000-0005-0000-0000-000027040000}"/>
    <cellStyle name="Output 2 2 2 4 2 2" xfId="1201" xr:uid="{00000000-0005-0000-0000-000028040000}"/>
    <cellStyle name="Output 2 2 2 4 3" xfId="1202" xr:uid="{00000000-0005-0000-0000-000029040000}"/>
    <cellStyle name="Output 2 2 2 4 4" xfId="1463" xr:uid="{00000000-0005-0000-0000-00002A040000}"/>
    <cellStyle name="Output 2 2 2 4 5" xfId="1571" xr:uid="{00000000-0005-0000-0000-00002B040000}"/>
    <cellStyle name="Output 2 2 2 5" xfId="442" xr:uid="{00000000-0005-0000-0000-00002C040000}"/>
    <cellStyle name="Output 2 2 2 5 2" xfId="802" xr:uid="{00000000-0005-0000-0000-00002D040000}"/>
    <cellStyle name="Output 2 2 2 6" xfId="523" xr:uid="{00000000-0005-0000-0000-00002E040000}"/>
    <cellStyle name="Output 2 2 2 6 2" xfId="883" xr:uid="{00000000-0005-0000-0000-00002F040000}"/>
    <cellStyle name="Output 2 2 2 7" xfId="603" xr:uid="{00000000-0005-0000-0000-000030040000}"/>
    <cellStyle name="Output 2 2 2 8" xfId="1458" xr:uid="{00000000-0005-0000-0000-000031040000}"/>
    <cellStyle name="Output 2 2 2 9" xfId="1566" xr:uid="{00000000-0005-0000-0000-000032040000}"/>
    <cellStyle name="Output 2 2 3" xfId="289" xr:uid="{00000000-0005-0000-0000-000033040000}"/>
    <cellStyle name="Output 2 2 3 2" xfId="378" xr:uid="{00000000-0005-0000-0000-000034040000}"/>
    <cellStyle name="Output 2 2 3 2 2" xfId="738" xr:uid="{00000000-0005-0000-0000-000035040000}"/>
    <cellStyle name="Output 2 2 3 2 2 2" xfId="1203" xr:uid="{00000000-0005-0000-0000-000036040000}"/>
    <cellStyle name="Output 2 2 3 2 3" xfId="1204" xr:uid="{00000000-0005-0000-0000-000037040000}"/>
    <cellStyle name="Output 2 2 3 2 4" xfId="1465" xr:uid="{00000000-0005-0000-0000-000038040000}"/>
    <cellStyle name="Output 2 2 3 2 5" xfId="1573" xr:uid="{00000000-0005-0000-0000-000039040000}"/>
    <cellStyle name="Output 2 2 3 3" xfId="459" xr:uid="{00000000-0005-0000-0000-00003A040000}"/>
    <cellStyle name="Output 2 2 3 3 2" xfId="819" xr:uid="{00000000-0005-0000-0000-00003B040000}"/>
    <cellStyle name="Output 2 2 3 4" xfId="540" xr:uid="{00000000-0005-0000-0000-00003C040000}"/>
    <cellStyle name="Output 2 2 3 4 2" xfId="900" xr:uid="{00000000-0005-0000-0000-00003D040000}"/>
    <cellStyle name="Output 2 2 3 5" xfId="649" xr:uid="{00000000-0005-0000-0000-00003E040000}"/>
    <cellStyle name="Output 2 2 3 6" xfId="1464" xr:uid="{00000000-0005-0000-0000-00003F040000}"/>
    <cellStyle name="Output 2 2 3 7" xfId="1572" xr:uid="{00000000-0005-0000-0000-000040040000}"/>
    <cellStyle name="Output 2 2 4" xfId="290" xr:uid="{00000000-0005-0000-0000-000041040000}"/>
    <cellStyle name="Output 2 2 4 2" xfId="408" xr:uid="{00000000-0005-0000-0000-000042040000}"/>
    <cellStyle name="Output 2 2 4 2 2" xfId="768" xr:uid="{00000000-0005-0000-0000-000043040000}"/>
    <cellStyle name="Output 2 2 4 2 2 2" xfId="1205" xr:uid="{00000000-0005-0000-0000-000044040000}"/>
    <cellStyle name="Output 2 2 4 2 3" xfId="1206" xr:uid="{00000000-0005-0000-0000-000045040000}"/>
    <cellStyle name="Output 2 2 4 2 4" xfId="1467" xr:uid="{00000000-0005-0000-0000-000046040000}"/>
    <cellStyle name="Output 2 2 4 2 5" xfId="1575" xr:uid="{00000000-0005-0000-0000-000047040000}"/>
    <cellStyle name="Output 2 2 4 3" xfId="489" xr:uid="{00000000-0005-0000-0000-000048040000}"/>
    <cellStyle name="Output 2 2 4 3 2" xfId="849" xr:uid="{00000000-0005-0000-0000-000049040000}"/>
    <cellStyle name="Output 2 2 4 4" xfId="570" xr:uid="{00000000-0005-0000-0000-00004A040000}"/>
    <cellStyle name="Output 2 2 4 4 2" xfId="930" xr:uid="{00000000-0005-0000-0000-00004B040000}"/>
    <cellStyle name="Output 2 2 4 5" xfId="650" xr:uid="{00000000-0005-0000-0000-00004C040000}"/>
    <cellStyle name="Output 2 2 4 6" xfId="1466" xr:uid="{00000000-0005-0000-0000-00004D040000}"/>
    <cellStyle name="Output 2 2 4 7" xfId="1574" xr:uid="{00000000-0005-0000-0000-00004E040000}"/>
    <cellStyle name="Output 2 2 5" xfId="348" xr:uid="{00000000-0005-0000-0000-00004F040000}"/>
    <cellStyle name="Output 2 2 5 2" xfId="708" xr:uid="{00000000-0005-0000-0000-000050040000}"/>
    <cellStyle name="Output 2 2 5 2 2" xfId="1207" xr:uid="{00000000-0005-0000-0000-000051040000}"/>
    <cellStyle name="Output 2 2 5 3" xfId="1208" xr:uid="{00000000-0005-0000-0000-000052040000}"/>
    <cellStyle name="Output 2 2 5 4" xfId="1468" xr:uid="{00000000-0005-0000-0000-000053040000}"/>
    <cellStyle name="Output 2 2 5 5" xfId="1576" xr:uid="{00000000-0005-0000-0000-000054040000}"/>
    <cellStyle name="Output 2 2 6" xfId="429" xr:uid="{00000000-0005-0000-0000-000055040000}"/>
    <cellStyle name="Output 2 2 6 2" xfId="789" xr:uid="{00000000-0005-0000-0000-000056040000}"/>
    <cellStyle name="Output 2 2 7" xfId="510" xr:uid="{00000000-0005-0000-0000-000057040000}"/>
    <cellStyle name="Output 2 2 7 2" xfId="870" xr:uid="{00000000-0005-0000-0000-000058040000}"/>
    <cellStyle name="Output 2 2 8" xfId="602" xr:uid="{00000000-0005-0000-0000-000059040000}"/>
    <cellStyle name="Output 2 2 9" xfId="1457" xr:uid="{00000000-0005-0000-0000-00005A040000}"/>
    <cellStyle name="Output 2 3" xfId="217" xr:uid="{00000000-0005-0000-0000-00005B040000}"/>
    <cellStyle name="Output 2 3 2" xfId="291" xr:uid="{00000000-0005-0000-0000-00005C040000}"/>
    <cellStyle name="Output 2 3 2 2" xfId="369" xr:uid="{00000000-0005-0000-0000-00005D040000}"/>
    <cellStyle name="Output 2 3 2 2 2" xfId="729" xr:uid="{00000000-0005-0000-0000-00005E040000}"/>
    <cellStyle name="Output 2 3 2 2 2 2" xfId="1209" xr:uid="{00000000-0005-0000-0000-00005F040000}"/>
    <cellStyle name="Output 2 3 2 2 3" xfId="1210" xr:uid="{00000000-0005-0000-0000-000060040000}"/>
    <cellStyle name="Output 2 3 2 2 4" xfId="1471" xr:uid="{00000000-0005-0000-0000-000061040000}"/>
    <cellStyle name="Output 2 3 2 2 5" xfId="1579" xr:uid="{00000000-0005-0000-0000-000062040000}"/>
    <cellStyle name="Output 2 3 2 3" xfId="450" xr:uid="{00000000-0005-0000-0000-000063040000}"/>
    <cellStyle name="Output 2 3 2 3 2" xfId="810" xr:uid="{00000000-0005-0000-0000-000064040000}"/>
    <cellStyle name="Output 2 3 2 4" xfId="531" xr:uid="{00000000-0005-0000-0000-000065040000}"/>
    <cellStyle name="Output 2 3 2 4 2" xfId="891" xr:uid="{00000000-0005-0000-0000-000066040000}"/>
    <cellStyle name="Output 2 3 2 5" xfId="651" xr:uid="{00000000-0005-0000-0000-000067040000}"/>
    <cellStyle name="Output 2 3 2 6" xfId="1470" xr:uid="{00000000-0005-0000-0000-000068040000}"/>
    <cellStyle name="Output 2 3 2 7" xfId="1578" xr:uid="{00000000-0005-0000-0000-000069040000}"/>
    <cellStyle name="Output 2 3 3" xfId="292" xr:uid="{00000000-0005-0000-0000-00006A040000}"/>
    <cellStyle name="Output 2 3 3 2" xfId="417" xr:uid="{00000000-0005-0000-0000-00006B040000}"/>
    <cellStyle name="Output 2 3 3 2 2" xfId="777" xr:uid="{00000000-0005-0000-0000-00006C040000}"/>
    <cellStyle name="Output 2 3 3 2 2 2" xfId="1211" xr:uid="{00000000-0005-0000-0000-00006D040000}"/>
    <cellStyle name="Output 2 3 3 2 3" xfId="1212" xr:uid="{00000000-0005-0000-0000-00006E040000}"/>
    <cellStyle name="Output 2 3 3 2 4" xfId="1473" xr:uid="{00000000-0005-0000-0000-00006F040000}"/>
    <cellStyle name="Output 2 3 3 2 5" xfId="1581" xr:uid="{00000000-0005-0000-0000-000070040000}"/>
    <cellStyle name="Output 2 3 3 3" xfId="498" xr:uid="{00000000-0005-0000-0000-000071040000}"/>
    <cellStyle name="Output 2 3 3 3 2" xfId="858" xr:uid="{00000000-0005-0000-0000-000072040000}"/>
    <cellStyle name="Output 2 3 3 4" xfId="579" xr:uid="{00000000-0005-0000-0000-000073040000}"/>
    <cellStyle name="Output 2 3 3 4 2" xfId="939" xr:uid="{00000000-0005-0000-0000-000074040000}"/>
    <cellStyle name="Output 2 3 3 5" xfId="652" xr:uid="{00000000-0005-0000-0000-000075040000}"/>
    <cellStyle name="Output 2 3 3 6" xfId="1472" xr:uid="{00000000-0005-0000-0000-000076040000}"/>
    <cellStyle name="Output 2 3 3 7" xfId="1580" xr:uid="{00000000-0005-0000-0000-000077040000}"/>
    <cellStyle name="Output 2 3 4" xfId="357" xr:uid="{00000000-0005-0000-0000-000078040000}"/>
    <cellStyle name="Output 2 3 4 2" xfId="717" xr:uid="{00000000-0005-0000-0000-000079040000}"/>
    <cellStyle name="Output 2 3 4 2 2" xfId="1213" xr:uid="{00000000-0005-0000-0000-00007A040000}"/>
    <cellStyle name="Output 2 3 4 3" xfId="1214" xr:uid="{00000000-0005-0000-0000-00007B040000}"/>
    <cellStyle name="Output 2 3 4 4" xfId="1474" xr:uid="{00000000-0005-0000-0000-00007C040000}"/>
    <cellStyle name="Output 2 3 4 5" xfId="1582" xr:uid="{00000000-0005-0000-0000-00007D040000}"/>
    <cellStyle name="Output 2 3 5" xfId="438" xr:uid="{00000000-0005-0000-0000-00007E040000}"/>
    <cellStyle name="Output 2 3 5 2" xfId="798" xr:uid="{00000000-0005-0000-0000-00007F040000}"/>
    <cellStyle name="Output 2 3 6" xfId="519" xr:uid="{00000000-0005-0000-0000-000080040000}"/>
    <cellStyle name="Output 2 3 6 2" xfId="879" xr:uid="{00000000-0005-0000-0000-000081040000}"/>
    <cellStyle name="Output 2 3 7" xfId="604" xr:uid="{00000000-0005-0000-0000-000082040000}"/>
    <cellStyle name="Output 2 3 8" xfId="1469" xr:uid="{00000000-0005-0000-0000-000083040000}"/>
    <cellStyle name="Output 2 3 9" xfId="1577" xr:uid="{00000000-0005-0000-0000-000084040000}"/>
    <cellStyle name="Output 2 4" xfId="293" xr:uid="{00000000-0005-0000-0000-000085040000}"/>
    <cellStyle name="Output 2 4 2" xfId="387" xr:uid="{00000000-0005-0000-0000-000086040000}"/>
    <cellStyle name="Output 2 4 2 2" xfId="747" xr:uid="{00000000-0005-0000-0000-000087040000}"/>
    <cellStyle name="Output 2 4 2 2 2" xfId="1215" xr:uid="{00000000-0005-0000-0000-000088040000}"/>
    <cellStyle name="Output 2 4 2 3" xfId="1216" xr:uid="{00000000-0005-0000-0000-000089040000}"/>
    <cellStyle name="Output 2 4 2 4" xfId="1476" xr:uid="{00000000-0005-0000-0000-00008A040000}"/>
    <cellStyle name="Output 2 4 2 5" xfId="1584" xr:uid="{00000000-0005-0000-0000-00008B040000}"/>
    <cellStyle name="Output 2 4 3" xfId="468" xr:uid="{00000000-0005-0000-0000-00008C040000}"/>
    <cellStyle name="Output 2 4 3 2" xfId="828" xr:uid="{00000000-0005-0000-0000-00008D040000}"/>
    <cellStyle name="Output 2 4 4" xfId="549" xr:uid="{00000000-0005-0000-0000-00008E040000}"/>
    <cellStyle name="Output 2 4 4 2" xfId="909" xr:uid="{00000000-0005-0000-0000-00008F040000}"/>
    <cellStyle name="Output 2 4 5" xfId="653" xr:uid="{00000000-0005-0000-0000-000090040000}"/>
    <cellStyle name="Output 2 4 6" xfId="1475" xr:uid="{00000000-0005-0000-0000-000091040000}"/>
    <cellStyle name="Output 2 4 7" xfId="1583" xr:uid="{00000000-0005-0000-0000-000092040000}"/>
    <cellStyle name="Output 2 5" xfId="294" xr:uid="{00000000-0005-0000-0000-000093040000}"/>
    <cellStyle name="Output 2 5 2" xfId="397" xr:uid="{00000000-0005-0000-0000-000094040000}"/>
    <cellStyle name="Output 2 5 2 2" xfId="757" xr:uid="{00000000-0005-0000-0000-000095040000}"/>
    <cellStyle name="Output 2 5 2 2 2" xfId="1217" xr:uid="{00000000-0005-0000-0000-000096040000}"/>
    <cellStyle name="Output 2 5 2 3" xfId="1218" xr:uid="{00000000-0005-0000-0000-000097040000}"/>
    <cellStyle name="Output 2 5 2 4" xfId="1478" xr:uid="{00000000-0005-0000-0000-000098040000}"/>
    <cellStyle name="Output 2 5 2 5" xfId="1586" xr:uid="{00000000-0005-0000-0000-000099040000}"/>
    <cellStyle name="Output 2 5 3" xfId="478" xr:uid="{00000000-0005-0000-0000-00009A040000}"/>
    <cellStyle name="Output 2 5 3 2" xfId="838" xr:uid="{00000000-0005-0000-0000-00009B040000}"/>
    <cellStyle name="Output 2 5 4" xfId="559" xr:uid="{00000000-0005-0000-0000-00009C040000}"/>
    <cellStyle name="Output 2 5 4 2" xfId="919" xr:uid="{00000000-0005-0000-0000-00009D040000}"/>
    <cellStyle name="Output 2 5 5" xfId="654" xr:uid="{00000000-0005-0000-0000-00009E040000}"/>
    <cellStyle name="Output 2 5 6" xfId="1477" xr:uid="{00000000-0005-0000-0000-00009F040000}"/>
    <cellStyle name="Output 2 5 7" xfId="1585" xr:uid="{00000000-0005-0000-0000-0000A0040000}"/>
    <cellStyle name="Output 2 6" xfId="338" xr:uid="{00000000-0005-0000-0000-0000A1040000}"/>
    <cellStyle name="Output 2 6 2" xfId="698" xr:uid="{00000000-0005-0000-0000-0000A2040000}"/>
    <cellStyle name="Output 2 6 2 2" xfId="1219" xr:uid="{00000000-0005-0000-0000-0000A3040000}"/>
    <cellStyle name="Output 2 6 3" xfId="1220" xr:uid="{00000000-0005-0000-0000-0000A4040000}"/>
    <cellStyle name="Output 2 6 4" xfId="1479" xr:uid="{00000000-0005-0000-0000-0000A5040000}"/>
    <cellStyle name="Output 2 6 5" xfId="1587" xr:uid="{00000000-0005-0000-0000-0000A6040000}"/>
    <cellStyle name="Output 2 7" xfId="317" xr:uid="{00000000-0005-0000-0000-0000A7040000}"/>
    <cellStyle name="Output 2 7 2" xfId="677" xr:uid="{00000000-0005-0000-0000-0000A8040000}"/>
    <cellStyle name="Output 2 7 2 2" xfId="1221" xr:uid="{00000000-0005-0000-0000-0000A9040000}"/>
    <cellStyle name="Output 2 7 3" xfId="1222" xr:uid="{00000000-0005-0000-0000-0000AA040000}"/>
    <cellStyle name="Output 2 8" xfId="334" xr:uid="{00000000-0005-0000-0000-0000AB040000}"/>
    <cellStyle name="Output 2 8 2" xfId="694" xr:uid="{00000000-0005-0000-0000-0000AC040000}"/>
    <cellStyle name="Output 2 9" xfId="601" xr:uid="{00000000-0005-0000-0000-0000AD040000}"/>
    <cellStyle name="Output 3" xfId="218" xr:uid="{00000000-0005-0000-0000-0000AE040000}"/>
    <cellStyle name="Output 3 10" xfId="1480" xr:uid="{00000000-0005-0000-0000-0000AF040000}"/>
    <cellStyle name="Output 3 11" xfId="1588" xr:uid="{00000000-0005-0000-0000-0000B0040000}"/>
    <cellStyle name="Output 3 2" xfId="219" xr:uid="{00000000-0005-0000-0000-0000B1040000}"/>
    <cellStyle name="Output 3 2 10" xfId="1589" xr:uid="{00000000-0005-0000-0000-0000B2040000}"/>
    <cellStyle name="Output 3 2 2" xfId="220" xr:uid="{00000000-0005-0000-0000-0000B3040000}"/>
    <cellStyle name="Output 3 2 2 2" xfId="295" xr:uid="{00000000-0005-0000-0000-0000B4040000}"/>
    <cellStyle name="Output 3 2 2 2 2" xfId="366" xr:uid="{00000000-0005-0000-0000-0000B5040000}"/>
    <cellStyle name="Output 3 2 2 2 2 2" xfId="726" xr:uid="{00000000-0005-0000-0000-0000B6040000}"/>
    <cellStyle name="Output 3 2 2 2 2 2 2" xfId="1223" xr:uid="{00000000-0005-0000-0000-0000B7040000}"/>
    <cellStyle name="Output 3 2 2 2 2 3" xfId="1224" xr:uid="{00000000-0005-0000-0000-0000B8040000}"/>
    <cellStyle name="Output 3 2 2 2 2 4" xfId="1484" xr:uid="{00000000-0005-0000-0000-0000B9040000}"/>
    <cellStyle name="Output 3 2 2 2 2 5" xfId="1592" xr:uid="{00000000-0005-0000-0000-0000BA040000}"/>
    <cellStyle name="Output 3 2 2 2 3" xfId="447" xr:uid="{00000000-0005-0000-0000-0000BB040000}"/>
    <cellStyle name="Output 3 2 2 2 3 2" xfId="807" xr:uid="{00000000-0005-0000-0000-0000BC040000}"/>
    <cellStyle name="Output 3 2 2 2 4" xfId="528" xr:uid="{00000000-0005-0000-0000-0000BD040000}"/>
    <cellStyle name="Output 3 2 2 2 4 2" xfId="888" xr:uid="{00000000-0005-0000-0000-0000BE040000}"/>
    <cellStyle name="Output 3 2 2 2 5" xfId="655" xr:uid="{00000000-0005-0000-0000-0000BF040000}"/>
    <cellStyle name="Output 3 2 2 2 6" xfId="1483" xr:uid="{00000000-0005-0000-0000-0000C0040000}"/>
    <cellStyle name="Output 3 2 2 2 7" xfId="1591" xr:uid="{00000000-0005-0000-0000-0000C1040000}"/>
    <cellStyle name="Output 3 2 2 3" xfId="296" xr:uid="{00000000-0005-0000-0000-0000C2040000}"/>
    <cellStyle name="Output 3 2 2 3 2" xfId="420" xr:uid="{00000000-0005-0000-0000-0000C3040000}"/>
    <cellStyle name="Output 3 2 2 3 2 2" xfId="780" xr:uid="{00000000-0005-0000-0000-0000C4040000}"/>
    <cellStyle name="Output 3 2 2 3 2 2 2" xfId="1225" xr:uid="{00000000-0005-0000-0000-0000C5040000}"/>
    <cellStyle name="Output 3 2 2 3 2 3" xfId="1226" xr:uid="{00000000-0005-0000-0000-0000C6040000}"/>
    <cellStyle name="Output 3 2 2 3 2 4" xfId="1486" xr:uid="{00000000-0005-0000-0000-0000C7040000}"/>
    <cellStyle name="Output 3 2 2 3 2 5" xfId="1594" xr:uid="{00000000-0005-0000-0000-0000C8040000}"/>
    <cellStyle name="Output 3 2 2 3 3" xfId="501" xr:uid="{00000000-0005-0000-0000-0000C9040000}"/>
    <cellStyle name="Output 3 2 2 3 3 2" xfId="861" xr:uid="{00000000-0005-0000-0000-0000CA040000}"/>
    <cellStyle name="Output 3 2 2 3 4" xfId="582" xr:uid="{00000000-0005-0000-0000-0000CB040000}"/>
    <cellStyle name="Output 3 2 2 3 4 2" xfId="942" xr:uid="{00000000-0005-0000-0000-0000CC040000}"/>
    <cellStyle name="Output 3 2 2 3 5" xfId="656" xr:uid="{00000000-0005-0000-0000-0000CD040000}"/>
    <cellStyle name="Output 3 2 2 3 6" xfId="1485" xr:uid="{00000000-0005-0000-0000-0000CE040000}"/>
    <cellStyle name="Output 3 2 2 3 7" xfId="1593" xr:uid="{00000000-0005-0000-0000-0000CF040000}"/>
    <cellStyle name="Output 3 2 2 4" xfId="360" xr:uid="{00000000-0005-0000-0000-0000D0040000}"/>
    <cellStyle name="Output 3 2 2 4 2" xfId="720" xr:uid="{00000000-0005-0000-0000-0000D1040000}"/>
    <cellStyle name="Output 3 2 2 4 2 2" xfId="1227" xr:uid="{00000000-0005-0000-0000-0000D2040000}"/>
    <cellStyle name="Output 3 2 2 4 3" xfId="1228" xr:uid="{00000000-0005-0000-0000-0000D3040000}"/>
    <cellStyle name="Output 3 2 2 4 4" xfId="1487" xr:uid="{00000000-0005-0000-0000-0000D4040000}"/>
    <cellStyle name="Output 3 2 2 4 5" xfId="1595" xr:uid="{00000000-0005-0000-0000-0000D5040000}"/>
    <cellStyle name="Output 3 2 2 5" xfId="441" xr:uid="{00000000-0005-0000-0000-0000D6040000}"/>
    <cellStyle name="Output 3 2 2 5 2" xfId="801" xr:uid="{00000000-0005-0000-0000-0000D7040000}"/>
    <cellStyle name="Output 3 2 2 6" xfId="522" xr:uid="{00000000-0005-0000-0000-0000D8040000}"/>
    <cellStyle name="Output 3 2 2 6 2" xfId="882" xr:uid="{00000000-0005-0000-0000-0000D9040000}"/>
    <cellStyle name="Output 3 2 2 7" xfId="607" xr:uid="{00000000-0005-0000-0000-0000DA040000}"/>
    <cellStyle name="Output 3 2 2 8" xfId="1482" xr:uid="{00000000-0005-0000-0000-0000DB040000}"/>
    <cellStyle name="Output 3 2 2 9" xfId="1590" xr:uid="{00000000-0005-0000-0000-0000DC040000}"/>
    <cellStyle name="Output 3 2 3" xfId="297" xr:uid="{00000000-0005-0000-0000-0000DD040000}"/>
    <cellStyle name="Output 3 2 3 2" xfId="379" xr:uid="{00000000-0005-0000-0000-0000DE040000}"/>
    <cellStyle name="Output 3 2 3 2 2" xfId="739" xr:uid="{00000000-0005-0000-0000-0000DF040000}"/>
    <cellStyle name="Output 3 2 3 2 2 2" xfId="1229" xr:uid="{00000000-0005-0000-0000-0000E0040000}"/>
    <cellStyle name="Output 3 2 3 2 3" xfId="1230" xr:uid="{00000000-0005-0000-0000-0000E1040000}"/>
    <cellStyle name="Output 3 2 3 2 4" xfId="1489" xr:uid="{00000000-0005-0000-0000-0000E2040000}"/>
    <cellStyle name="Output 3 2 3 2 5" xfId="1597" xr:uid="{00000000-0005-0000-0000-0000E3040000}"/>
    <cellStyle name="Output 3 2 3 3" xfId="460" xr:uid="{00000000-0005-0000-0000-0000E4040000}"/>
    <cellStyle name="Output 3 2 3 3 2" xfId="820" xr:uid="{00000000-0005-0000-0000-0000E5040000}"/>
    <cellStyle name="Output 3 2 3 4" xfId="541" xr:uid="{00000000-0005-0000-0000-0000E6040000}"/>
    <cellStyle name="Output 3 2 3 4 2" xfId="901" xr:uid="{00000000-0005-0000-0000-0000E7040000}"/>
    <cellStyle name="Output 3 2 3 5" xfId="657" xr:uid="{00000000-0005-0000-0000-0000E8040000}"/>
    <cellStyle name="Output 3 2 3 6" xfId="1488" xr:uid="{00000000-0005-0000-0000-0000E9040000}"/>
    <cellStyle name="Output 3 2 3 7" xfId="1596" xr:uid="{00000000-0005-0000-0000-0000EA040000}"/>
    <cellStyle name="Output 3 2 4" xfId="298" xr:uid="{00000000-0005-0000-0000-0000EB040000}"/>
    <cellStyle name="Output 3 2 4 2" xfId="407" xr:uid="{00000000-0005-0000-0000-0000EC040000}"/>
    <cellStyle name="Output 3 2 4 2 2" xfId="767" xr:uid="{00000000-0005-0000-0000-0000ED040000}"/>
    <cellStyle name="Output 3 2 4 2 2 2" xfId="1231" xr:uid="{00000000-0005-0000-0000-0000EE040000}"/>
    <cellStyle name="Output 3 2 4 2 3" xfId="1232" xr:uid="{00000000-0005-0000-0000-0000EF040000}"/>
    <cellStyle name="Output 3 2 4 2 4" xfId="1491" xr:uid="{00000000-0005-0000-0000-0000F0040000}"/>
    <cellStyle name="Output 3 2 4 2 5" xfId="1599" xr:uid="{00000000-0005-0000-0000-0000F1040000}"/>
    <cellStyle name="Output 3 2 4 3" xfId="488" xr:uid="{00000000-0005-0000-0000-0000F2040000}"/>
    <cellStyle name="Output 3 2 4 3 2" xfId="848" xr:uid="{00000000-0005-0000-0000-0000F3040000}"/>
    <cellStyle name="Output 3 2 4 4" xfId="569" xr:uid="{00000000-0005-0000-0000-0000F4040000}"/>
    <cellStyle name="Output 3 2 4 4 2" xfId="929" xr:uid="{00000000-0005-0000-0000-0000F5040000}"/>
    <cellStyle name="Output 3 2 4 5" xfId="658" xr:uid="{00000000-0005-0000-0000-0000F6040000}"/>
    <cellStyle name="Output 3 2 4 6" xfId="1490" xr:uid="{00000000-0005-0000-0000-0000F7040000}"/>
    <cellStyle name="Output 3 2 4 7" xfId="1598" xr:uid="{00000000-0005-0000-0000-0000F8040000}"/>
    <cellStyle name="Output 3 2 5" xfId="347" xr:uid="{00000000-0005-0000-0000-0000F9040000}"/>
    <cellStyle name="Output 3 2 5 2" xfId="707" xr:uid="{00000000-0005-0000-0000-0000FA040000}"/>
    <cellStyle name="Output 3 2 5 2 2" xfId="1233" xr:uid="{00000000-0005-0000-0000-0000FB040000}"/>
    <cellStyle name="Output 3 2 5 3" xfId="1234" xr:uid="{00000000-0005-0000-0000-0000FC040000}"/>
    <cellStyle name="Output 3 2 5 4" xfId="1492" xr:uid="{00000000-0005-0000-0000-0000FD040000}"/>
    <cellStyle name="Output 3 2 5 5" xfId="1600" xr:uid="{00000000-0005-0000-0000-0000FE040000}"/>
    <cellStyle name="Output 3 2 6" xfId="428" xr:uid="{00000000-0005-0000-0000-0000FF040000}"/>
    <cellStyle name="Output 3 2 6 2" xfId="788" xr:uid="{00000000-0005-0000-0000-000000050000}"/>
    <cellStyle name="Output 3 2 7" xfId="509" xr:uid="{00000000-0005-0000-0000-000001050000}"/>
    <cellStyle name="Output 3 2 7 2" xfId="869" xr:uid="{00000000-0005-0000-0000-000002050000}"/>
    <cellStyle name="Output 3 2 8" xfId="606" xr:uid="{00000000-0005-0000-0000-000003050000}"/>
    <cellStyle name="Output 3 2 9" xfId="1481" xr:uid="{00000000-0005-0000-0000-000004050000}"/>
    <cellStyle name="Output 3 3" xfId="221" xr:uid="{00000000-0005-0000-0000-000005050000}"/>
    <cellStyle name="Output 3 3 2" xfId="299" xr:uid="{00000000-0005-0000-0000-000006050000}"/>
    <cellStyle name="Output 3 3 2 2" xfId="368" xr:uid="{00000000-0005-0000-0000-000007050000}"/>
    <cellStyle name="Output 3 3 2 2 2" xfId="728" xr:uid="{00000000-0005-0000-0000-000008050000}"/>
    <cellStyle name="Output 3 3 2 2 2 2" xfId="1235" xr:uid="{00000000-0005-0000-0000-000009050000}"/>
    <cellStyle name="Output 3 3 2 2 3" xfId="1236" xr:uid="{00000000-0005-0000-0000-00000A050000}"/>
    <cellStyle name="Output 3 3 2 2 4" xfId="1495" xr:uid="{00000000-0005-0000-0000-00000B050000}"/>
    <cellStyle name="Output 3 3 2 2 5" xfId="1603" xr:uid="{00000000-0005-0000-0000-00000C050000}"/>
    <cellStyle name="Output 3 3 2 3" xfId="449" xr:uid="{00000000-0005-0000-0000-00000D050000}"/>
    <cellStyle name="Output 3 3 2 3 2" xfId="809" xr:uid="{00000000-0005-0000-0000-00000E050000}"/>
    <cellStyle name="Output 3 3 2 4" xfId="530" xr:uid="{00000000-0005-0000-0000-00000F050000}"/>
    <cellStyle name="Output 3 3 2 4 2" xfId="890" xr:uid="{00000000-0005-0000-0000-000010050000}"/>
    <cellStyle name="Output 3 3 2 5" xfId="659" xr:uid="{00000000-0005-0000-0000-000011050000}"/>
    <cellStyle name="Output 3 3 2 6" xfId="1494" xr:uid="{00000000-0005-0000-0000-000012050000}"/>
    <cellStyle name="Output 3 3 2 7" xfId="1602" xr:uid="{00000000-0005-0000-0000-000013050000}"/>
    <cellStyle name="Output 3 3 3" xfId="300" xr:uid="{00000000-0005-0000-0000-000014050000}"/>
    <cellStyle name="Output 3 3 3 2" xfId="418" xr:uid="{00000000-0005-0000-0000-000015050000}"/>
    <cellStyle name="Output 3 3 3 2 2" xfId="778" xr:uid="{00000000-0005-0000-0000-000016050000}"/>
    <cellStyle name="Output 3 3 3 2 2 2" xfId="1237" xr:uid="{00000000-0005-0000-0000-000017050000}"/>
    <cellStyle name="Output 3 3 3 2 3" xfId="1238" xr:uid="{00000000-0005-0000-0000-000018050000}"/>
    <cellStyle name="Output 3 3 3 2 4" xfId="1497" xr:uid="{00000000-0005-0000-0000-000019050000}"/>
    <cellStyle name="Output 3 3 3 2 5" xfId="1605" xr:uid="{00000000-0005-0000-0000-00001A050000}"/>
    <cellStyle name="Output 3 3 3 3" xfId="499" xr:uid="{00000000-0005-0000-0000-00001B050000}"/>
    <cellStyle name="Output 3 3 3 3 2" xfId="859" xr:uid="{00000000-0005-0000-0000-00001C050000}"/>
    <cellStyle name="Output 3 3 3 4" xfId="580" xr:uid="{00000000-0005-0000-0000-00001D050000}"/>
    <cellStyle name="Output 3 3 3 4 2" xfId="940" xr:uid="{00000000-0005-0000-0000-00001E050000}"/>
    <cellStyle name="Output 3 3 3 5" xfId="660" xr:uid="{00000000-0005-0000-0000-00001F050000}"/>
    <cellStyle name="Output 3 3 3 6" xfId="1496" xr:uid="{00000000-0005-0000-0000-000020050000}"/>
    <cellStyle name="Output 3 3 3 7" xfId="1604" xr:uid="{00000000-0005-0000-0000-000021050000}"/>
    <cellStyle name="Output 3 3 4" xfId="358" xr:uid="{00000000-0005-0000-0000-000022050000}"/>
    <cellStyle name="Output 3 3 4 2" xfId="718" xr:uid="{00000000-0005-0000-0000-000023050000}"/>
    <cellStyle name="Output 3 3 4 2 2" xfId="1239" xr:uid="{00000000-0005-0000-0000-000024050000}"/>
    <cellStyle name="Output 3 3 4 3" xfId="1240" xr:uid="{00000000-0005-0000-0000-000025050000}"/>
    <cellStyle name="Output 3 3 4 4" xfId="1498" xr:uid="{00000000-0005-0000-0000-000026050000}"/>
    <cellStyle name="Output 3 3 4 5" xfId="1606" xr:uid="{00000000-0005-0000-0000-000027050000}"/>
    <cellStyle name="Output 3 3 5" xfId="439" xr:uid="{00000000-0005-0000-0000-000028050000}"/>
    <cellStyle name="Output 3 3 5 2" xfId="799" xr:uid="{00000000-0005-0000-0000-000029050000}"/>
    <cellStyle name="Output 3 3 6" xfId="520" xr:uid="{00000000-0005-0000-0000-00002A050000}"/>
    <cellStyle name="Output 3 3 6 2" xfId="880" xr:uid="{00000000-0005-0000-0000-00002B050000}"/>
    <cellStyle name="Output 3 3 7" xfId="608" xr:uid="{00000000-0005-0000-0000-00002C050000}"/>
    <cellStyle name="Output 3 3 8" xfId="1493" xr:uid="{00000000-0005-0000-0000-00002D050000}"/>
    <cellStyle name="Output 3 3 9" xfId="1601" xr:uid="{00000000-0005-0000-0000-00002E050000}"/>
    <cellStyle name="Output 3 4" xfId="301" xr:uid="{00000000-0005-0000-0000-00002F050000}"/>
    <cellStyle name="Output 3 4 2" xfId="386" xr:uid="{00000000-0005-0000-0000-000030050000}"/>
    <cellStyle name="Output 3 4 2 2" xfId="746" xr:uid="{00000000-0005-0000-0000-000031050000}"/>
    <cellStyle name="Output 3 4 2 2 2" xfId="1241" xr:uid="{00000000-0005-0000-0000-000032050000}"/>
    <cellStyle name="Output 3 4 2 3" xfId="1242" xr:uid="{00000000-0005-0000-0000-000033050000}"/>
    <cellStyle name="Output 3 4 2 4" xfId="1500" xr:uid="{00000000-0005-0000-0000-000034050000}"/>
    <cellStyle name="Output 3 4 2 5" xfId="1608" xr:uid="{00000000-0005-0000-0000-000035050000}"/>
    <cellStyle name="Output 3 4 3" xfId="467" xr:uid="{00000000-0005-0000-0000-000036050000}"/>
    <cellStyle name="Output 3 4 3 2" xfId="827" xr:uid="{00000000-0005-0000-0000-000037050000}"/>
    <cellStyle name="Output 3 4 4" xfId="548" xr:uid="{00000000-0005-0000-0000-000038050000}"/>
    <cellStyle name="Output 3 4 4 2" xfId="908" xr:uid="{00000000-0005-0000-0000-000039050000}"/>
    <cellStyle name="Output 3 4 5" xfId="661" xr:uid="{00000000-0005-0000-0000-00003A050000}"/>
    <cellStyle name="Output 3 4 6" xfId="1499" xr:uid="{00000000-0005-0000-0000-00003B050000}"/>
    <cellStyle name="Output 3 4 7" xfId="1607" xr:uid="{00000000-0005-0000-0000-00003C050000}"/>
    <cellStyle name="Output 3 5" xfId="302" xr:uid="{00000000-0005-0000-0000-00003D050000}"/>
    <cellStyle name="Output 3 5 2" xfId="398" xr:uid="{00000000-0005-0000-0000-00003E050000}"/>
    <cellStyle name="Output 3 5 2 2" xfId="758" xr:uid="{00000000-0005-0000-0000-00003F050000}"/>
    <cellStyle name="Output 3 5 2 2 2" xfId="1243" xr:uid="{00000000-0005-0000-0000-000040050000}"/>
    <cellStyle name="Output 3 5 2 3" xfId="1244" xr:uid="{00000000-0005-0000-0000-000041050000}"/>
    <cellStyle name="Output 3 5 2 4" xfId="1502" xr:uid="{00000000-0005-0000-0000-000042050000}"/>
    <cellStyle name="Output 3 5 2 5" xfId="1610" xr:uid="{00000000-0005-0000-0000-000043050000}"/>
    <cellStyle name="Output 3 5 3" xfId="479" xr:uid="{00000000-0005-0000-0000-000044050000}"/>
    <cellStyle name="Output 3 5 3 2" xfId="839" xr:uid="{00000000-0005-0000-0000-000045050000}"/>
    <cellStyle name="Output 3 5 4" xfId="560" xr:uid="{00000000-0005-0000-0000-000046050000}"/>
    <cellStyle name="Output 3 5 4 2" xfId="920" xr:uid="{00000000-0005-0000-0000-000047050000}"/>
    <cellStyle name="Output 3 5 5" xfId="662" xr:uid="{00000000-0005-0000-0000-000048050000}"/>
    <cellStyle name="Output 3 5 6" xfId="1501" xr:uid="{00000000-0005-0000-0000-000049050000}"/>
    <cellStyle name="Output 3 5 7" xfId="1609" xr:uid="{00000000-0005-0000-0000-00004A050000}"/>
    <cellStyle name="Output 3 6" xfId="339" xr:uid="{00000000-0005-0000-0000-00004B050000}"/>
    <cellStyle name="Output 3 6 2" xfId="699" xr:uid="{00000000-0005-0000-0000-00004C050000}"/>
    <cellStyle name="Output 3 6 2 2" xfId="1245" xr:uid="{00000000-0005-0000-0000-00004D050000}"/>
    <cellStyle name="Output 3 6 3" xfId="1246" xr:uid="{00000000-0005-0000-0000-00004E050000}"/>
    <cellStyle name="Output 3 6 4" xfId="1503" xr:uid="{00000000-0005-0000-0000-00004F050000}"/>
    <cellStyle name="Output 3 6 5" xfId="1611" xr:uid="{00000000-0005-0000-0000-000050050000}"/>
    <cellStyle name="Output 3 7" xfId="316" xr:uid="{00000000-0005-0000-0000-000051050000}"/>
    <cellStyle name="Output 3 7 2" xfId="676" xr:uid="{00000000-0005-0000-0000-000052050000}"/>
    <cellStyle name="Output 3 8" xfId="335" xr:uid="{00000000-0005-0000-0000-000053050000}"/>
    <cellStyle name="Output 3 8 2" xfId="695" xr:uid="{00000000-0005-0000-0000-000054050000}"/>
    <cellStyle name="Output 3 9" xfId="605" xr:uid="{00000000-0005-0000-0000-000055050000}"/>
    <cellStyle name="Percent" xfId="1650" builtinId="5"/>
    <cellStyle name="Percent 2" xfId="222" xr:uid="{00000000-0005-0000-0000-000057050000}"/>
    <cellStyle name="Percent 2 2" xfId="223" xr:uid="{00000000-0005-0000-0000-000058050000}"/>
    <cellStyle name="Percent 2 3" xfId="224" xr:uid="{00000000-0005-0000-0000-000059050000}"/>
    <cellStyle name="Percent 2 4" xfId="225" xr:uid="{00000000-0005-0000-0000-00005A050000}"/>
    <cellStyle name="Percent 2 5" xfId="226" xr:uid="{00000000-0005-0000-0000-00005B050000}"/>
    <cellStyle name="Percent 2 6" xfId="227" xr:uid="{00000000-0005-0000-0000-00005C050000}"/>
    <cellStyle name="Percent 2 7" xfId="228" xr:uid="{00000000-0005-0000-0000-00005D050000}"/>
    <cellStyle name="Percent 2 8" xfId="229" xr:uid="{00000000-0005-0000-0000-00005E050000}"/>
    <cellStyle name="Percent 3" xfId="230" xr:uid="{00000000-0005-0000-0000-00005F050000}"/>
    <cellStyle name="Percent 3 2" xfId="231" xr:uid="{00000000-0005-0000-0000-000060050000}"/>
    <cellStyle name="Percent 3 3" xfId="232" xr:uid="{00000000-0005-0000-0000-000061050000}"/>
    <cellStyle name="Percent 3 4" xfId="233" xr:uid="{00000000-0005-0000-0000-000062050000}"/>
    <cellStyle name="Percent 3 5" xfId="234" xr:uid="{00000000-0005-0000-0000-000063050000}"/>
    <cellStyle name="Percent 3 6" xfId="235" xr:uid="{00000000-0005-0000-0000-000064050000}"/>
    <cellStyle name="Percent 3 7" xfId="236" xr:uid="{00000000-0005-0000-0000-000065050000}"/>
    <cellStyle name="Percent 3 8" xfId="237" xr:uid="{00000000-0005-0000-0000-000066050000}"/>
    <cellStyle name="Percent 4" xfId="238" xr:uid="{00000000-0005-0000-0000-000067050000}"/>
    <cellStyle name="Percent 5" xfId="239" xr:uid="{00000000-0005-0000-0000-000068050000}"/>
    <cellStyle name="Percent 5 2" xfId="240" xr:uid="{00000000-0005-0000-0000-000069050000}"/>
    <cellStyle name="Percent 5 3" xfId="241" xr:uid="{00000000-0005-0000-0000-00006A050000}"/>
    <cellStyle name="Percent 5 4" xfId="242" xr:uid="{00000000-0005-0000-0000-00006B050000}"/>
    <cellStyle name="Percent 5 5" xfId="243" xr:uid="{00000000-0005-0000-0000-00006C050000}"/>
    <cellStyle name="Percent 6" xfId="244" xr:uid="{00000000-0005-0000-0000-00006D050000}"/>
    <cellStyle name="Title 2" xfId="245" xr:uid="{00000000-0005-0000-0000-00006E050000}"/>
    <cellStyle name="Title 2 2" xfId="1247" xr:uid="{00000000-0005-0000-0000-00006F050000}"/>
    <cellStyle name="Title 2 3" xfId="1248" xr:uid="{00000000-0005-0000-0000-000070050000}"/>
    <cellStyle name="Title 3" xfId="246" xr:uid="{00000000-0005-0000-0000-000071050000}"/>
    <cellStyle name="Total 2" xfId="247" xr:uid="{00000000-0005-0000-0000-000072050000}"/>
    <cellStyle name="Total 2 10" xfId="1504" xr:uid="{00000000-0005-0000-0000-000073050000}"/>
    <cellStyle name="Total 2 11" xfId="1612" xr:uid="{00000000-0005-0000-0000-000074050000}"/>
    <cellStyle name="Total 2 2" xfId="248" xr:uid="{00000000-0005-0000-0000-000075050000}"/>
    <cellStyle name="Total 2 2 10" xfId="1613" xr:uid="{00000000-0005-0000-0000-000076050000}"/>
    <cellStyle name="Total 2 2 2" xfId="249" xr:uid="{00000000-0005-0000-0000-000077050000}"/>
    <cellStyle name="Total 2 2 2 2" xfId="303" xr:uid="{00000000-0005-0000-0000-000078050000}"/>
    <cellStyle name="Total 2 2 2 2 2" xfId="364" xr:uid="{00000000-0005-0000-0000-000079050000}"/>
    <cellStyle name="Total 2 2 2 2 2 2" xfId="724" xr:uid="{00000000-0005-0000-0000-00007A050000}"/>
    <cellStyle name="Total 2 2 2 2 2 2 2" xfId="1249" xr:uid="{00000000-0005-0000-0000-00007B050000}"/>
    <cellStyle name="Total 2 2 2 2 2 3" xfId="1250" xr:uid="{00000000-0005-0000-0000-00007C050000}"/>
    <cellStyle name="Total 2 2 2 2 2 4" xfId="1508" xr:uid="{00000000-0005-0000-0000-00007D050000}"/>
    <cellStyle name="Total 2 2 2 2 2 5" xfId="1616" xr:uid="{00000000-0005-0000-0000-00007E050000}"/>
    <cellStyle name="Total 2 2 2 2 3" xfId="445" xr:uid="{00000000-0005-0000-0000-00007F050000}"/>
    <cellStyle name="Total 2 2 2 2 3 2" xfId="805" xr:uid="{00000000-0005-0000-0000-000080050000}"/>
    <cellStyle name="Total 2 2 2 2 4" xfId="526" xr:uid="{00000000-0005-0000-0000-000081050000}"/>
    <cellStyle name="Total 2 2 2 2 4 2" xfId="886" xr:uid="{00000000-0005-0000-0000-000082050000}"/>
    <cellStyle name="Total 2 2 2 2 5" xfId="663" xr:uid="{00000000-0005-0000-0000-000083050000}"/>
    <cellStyle name="Total 2 2 2 2 6" xfId="1507" xr:uid="{00000000-0005-0000-0000-000084050000}"/>
    <cellStyle name="Total 2 2 2 2 7" xfId="1615" xr:uid="{00000000-0005-0000-0000-000085050000}"/>
    <cellStyle name="Total 2 2 2 3" xfId="304" xr:uid="{00000000-0005-0000-0000-000086050000}"/>
    <cellStyle name="Total 2 2 2 3 2" xfId="422" xr:uid="{00000000-0005-0000-0000-000087050000}"/>
    <cellStyle name="Total 2 2 2 3 2 2" xfId="782" xr:uid="{00000000-0005-0000-0000-000088050000}"/>
    <cellStyle name="Total 2 2 2 3 2 2 2" xfId="1251" xr:uid="{00000000-0005-0000-0000-000089050000}"/>
    <cellStyle name="Total 2 2 2 3 2 3" xfId="1252" xr:uid="{00000000-0005-0000-0000-00008A050000}"/>
    <cellStyle name="Total 2 2 2 3 2 4" xfId="1510" xr:uid="{00000000-0005-0000-0000-00008B050000}"/>
    <cellStyle name="Total 2 2 2 3 2 5" xfId="1618" xr:uid="{00000000-0005-0000-0000-00008C050000}"/>
    <cellStyle name="Total 2 2 2 3 3" xfId="503" xr:uid="{00000000-0005-0000-0000-00008D050000}"/>
    <cellStyle name="Total 2 2 2 3 3 2" xfId="863" xr:uid="{00000000-0005-0000-0000-00008E050000}"/>
    <cellStyle name="Total 2 2 2 3 4" xfId="584" xr:uid="{00000000-0005-0000-0000-00008F050000}"/>
    <cellStyle name="Total 2 2 2 3 4 2" xfId="944" xr:uid="{00000000-0005-0000-0000-000090050000}"/>
    <cellStyle name="Total 2 2 2 3 5" xfId="664" xr:uid="{00000000-0005-0000-0000-000091050000}"/>
    <cellStyle name="Total 2 2 2 3 6" xfId="1509" xr:uid="{00000000-0005-0000-0000-000092050000}"/>
    <cellStyle name="Total 2 2 2 3 7" xfId="1617" xr:uid="{00000000-0005-0000-0000-000093050000}"/>
    <cellStyle name="Total 2 2 2 4" xfId="362" xr:uid="{00000000-0005-0000-0000-000094050000}"/>
    <cellStyle name="Total 2 2 2 4 2" xfId="722" xr:uid="{00000000-0005-0000-0000-000095050000}"/>
    <cellStyle name="Total 2 2 2 4 2 2" xfId="1253" xr:uid="{00000000-0005-0000-0000-000096050000}"/>
    <cellStyle name="Total 2 2 2 4 3" xfId="1254" xr:uid="{00000000-0005-0000-0000-000097050000}"/>
    <cellStyle name="Total 2 2 2 4 4" xfId="1511" xr:uid="{00000000-0005-0000-0000-000098050000}"/>
    <cellStyle name="Total 2 2 2 4 5" xfId="1619" xr:uid="{00000000-0005-0000-0000-000099050000}"/>
    <cellStyle name="Total 2 2 2 5" xfId="443" xr:uid="{00000000-0005-0000-0000-00009A050000}"/>
    <cellStyle name="Total 2 2 2 5 2" xfId="803" xr:uid="{00000000-0005-0000-0000-00009B050000}"/>
    <cellStyle name="Total 2 2 2 6" xfId="524" xr:uid="{00000000-0005-0000-0000-00009C050000}"/>
    <cellStyle name="Total 2 2 2 6 2" xfId="884" xr:uid="{00000000-0005-0000-0000-00009D050000}"/>
    <cellStyle name="Total 2 2 2 7" xfId="611" xr:uid="{00000000-0005-0000-0000-00009E050000}"/>
    <cellStyle name="Total 2 2 2 8" xfId="1506" xr:uid="{00000000-0005-0000-0000-00009F050000}"/>
    <cellStyle name="Total 2 2 2 9" xfId="1614" xr:uid="{00000000-0005-0000-0000-0000A0050000}"/>
    <cellStyle name="Total 2 2 3" xfId="305" xr:uid="{00000000-0005-0000-0000-0000A1050000}"/>
    <cellStyle name="Total 2 2 3 2" xfId="371" xr:uid="{00000000-0005-0000-0000-0000A2050000}"/>
    <cellStyle name="Total 2 2 3 2 2" xfId="731" xr:uid="{00000000-0005-0000-0000-0000A3050000}"/>
    <cellStyle name="Total 2 2 3 2 2 2" xfId="1255" xr:uid="{00000000-0005-0000-0000-0000A4050000}"/>
    <cellStyle name="Total 2 2 3 2 3" xfId="1256" xr:uid="{00000000-0005-0000-0000-0000A5050000}"/>
    <cellStyle name="Total 2 2 3 2 4" xfId="1513" xr:uid="{00000000-0005-0000-0000-0000A6050000}"/>
    <cellStyle name="Total 2 2 3 2 5" xfId="1621" xr:uid="{00000000-0005-0000-0000-0000A7050000}"/>
    <cellStyle name="Total 2 2 3 3" xfId="452" xr:uid="{00000000-0005-0000-0000-0000A8050000}"/>
    <cellStyle name="Total 2 2 3 3 2" xfId="812" xr:uid="{00000000-0005-0000-0000-0000A9050000}"/>
    <cellStyle name="Total 2 2 3 4" xfId="533" xr:uid="{00000000-0005-0000-0000-0000AA050000}"/>
    <cellStyle name="Total 2 2 3 4 2" xfId="893" xr:uid="{00000000-0005-0000-0000-0000AB050000}"/>
    <cellStyle name="Total 2 2 3 5" xfId="665" xr:uid="{00000000-0005-0000-0000-0000AC050000}"/>
    <cellStyle name="Total 2 2 3 6" xfId="1512" xr:uid="{00000000-0005-0000-0000-0000AD050000}"/>
    <cellStyle name="Total 2 2 3 7" xfId="1620" xr:uid="{00000000-0005-0000-0000-0000AE050000}"/>
    <cellStyle name="Total 2 2 4" xfId="306" xr:uid="{00000000-0005-0000-0000-0000AF050000}"/>
    <cellStyle name="Total 2 2 4 2" xfId="415" xr:uid="{00000000-0005-0000-0000-0000B0050000}"/>
    <cellStyle name="Total 2 2 4 2 2" xfId="775" xr:uid="{00000000-0005-0000-0000-0000B1050000}"/>
    <cellStyle name="Total 2 2 4 2 2 2" xfId="1257" xr:uid="{00000000-0005-0000-0000-0000B2050000}"/>
    <cellStyle name="Total 2 2 4 2 3" xfId="1258" xr:uid="{00000000-0005-0000-0000-0000B3050000}"/>
    <cellStyle name="Total 2 2 4 2 4" xfId="1515" xr:uid="{00000000-0005-0000-0000-0000B4050000}"/>
    <cellStyle name="Total 2 2 4 2 5" xfId="1623" xr:uid="{00000000-0005-0000-0000-0000B5050000}"/>
    <cellStyle name="Total 2 2 4 3" xfId="496" xr:uid="{00000000-0005-0000-0000-0000B6050000}"/>
    <cellStyle name="Total 2 2 4 3 2" xfId="856" xr:uid="{00000000-0005-0000-0000-0000B7050000}"/>
    <cellStyle name="Total 2 2 4 4" xfId="577" xr:uid="{00000000-0005-0000-0000-0000B8050000}"/>
    <cellStyle name="Total 2 2 4 4 2" xfId="937" xr:uid="{00000000-0005-0000-0000-0000B9050000}"/>
    <cellStyle name="Total 2 2 4 5" xfId="666" xr:uid="{00000000-0005-0000-0000-0000BA050000}"/>
    <cellStyle name="Total 2 2 4 6" xfId="1514" xr:uid="{00000000-0005-0000-0000-0000BB050000}"/>
    <cellStyle name="Total 2 2 4 7" xfId="1622" xr:uid="{00000000-0005-0000-0000-0000BC050000}"/>
    <cellStyle name="Total 2 2 5" xfId="355" xr:uid="{00000000-0005-0000-0000-0000BD050000}"/>
    <cellStyle name="Total 2 2 5 2" xfId="715" xr:uid="{00000000-0005-0000-0000-0000BE050000}"/>
    <cellStyle name="Total 2 2 5 2 2" xfId="1259" xr:uid="{00000000-0005-0000-0000-0000BF050000}"/>
    <cellStyle name="Total 2 2 5 3" xfId="1260" xr:uid="{00000000-0005-0000-0000-0000C0050000}"/>
    <cellStyle name="Total 2 2 5 4" xfId="1516" xr:uid="{00000000-0005-0000-0000-0000C1050000}"/>
    <cellStyle name="Total 2 2 5 5" xfId="1624" xr:uid="{00000000-0005-0000-0000-0000C2050000}"/>
    <cellStyle name="Total 2 2 6" xfId="436" xr:uid="{00000000-0005-0000-0000-0000C3050000}"/>
    <cellStyle name="Total 2 2 6 2" xfId="796" xr:uid="{00000000-0005-0000-0000-0000C4050000}"/>
    <cellStyle name="Total 2 2 7" xfId="517" xr:uid="{00000000-0005-0000-0000-0000C5050000}"/>
    <cellStyle name="Total 2 2 7 2" xfId="877" xr:uid="{00000000-0005-0000-0000-0000C6050000}"/>
    <cellStyle name="Total 2 2 8" xfId="610" xr:uid="{00000000-0005-0000-0000-0000C7050000}"/>
    <cellStyle name="Total 2 2 9" xfId="1505" xr:uid="{00000000-0005-0000-0000-0000C8050000}"/>
    <cellStyle name="Total 2 3" xfId="250" xr:uid="{00000000-0005-0000-0000-0000C9050000}"/>
    <cellStyle name="Total 2 3 2" xfId="307" xr:uid="{00000000-0005-0000-0000-0000CA050000}"/>
    <cellStyle name="Total 2 3 2 2" xfId="367" xr:uid="{00000000-0005-0000-0000-0000CB050000}"/>
    <cellStyle name="Total 2 3 2 2 2" xfId="727" xr:uid="{00000000-0005-0000-0000-0000CC050000}"/>
    <cellStyle name="Total 2 3 2 2 2 2" xfId="1261" xr:uid="{00000000-0005-0000-0000-0000CD050000}"/>
    <cellStyle name="Total 2 3 2 2 3" xfId="1262" xr:uid="{00000000-0005-0000-0000-0000CE050000}"/>
    <cellStyle name="Total 2 3 2 2 4" xfId="1519" xr:uid="{00000000-0005-0000-0000-0000CF050000}"/>
    <cellStyle name="Total 2 3 2 2 5" xfId="1627" xr:uid="{00000000-0005-0000-0000-0000D0050000}"/>
    <cellStyle name="Total 2 3 2 3" xfId="448" xr:uid="{00000000-0005-0000-0000-0000D1050000}"/>
    <cellStyle name="Total 2 3 2 3 2" xfId="808" xr:uid="{00000000-0005-0000-0000-0000D2050000}"/>
    <cellStyle name="Total 2 3 2 4" xfId="529" xr:uid="{00000000-0005-0000-0000-0000D3050000}"/>
    <cellStyle name="Total 2 3 2 4 2" xfId="889" xr:uid="{00000000-0005-0000-0000-0000D4050000}"/>
    <cellStyle name="Total 2 3 2 5" xfId="667" xr:uid="{00000000-0005-0000-0000-0000D5050000}"/>
    <cellStyle name="Total 2 3 2 6" xfId="1518" xr:uid="{00000000-0005-0000-0000-0000D6050000}"/>
    <cellStyle name="Total 2 3 2 7" xfId="1626" xr:uid="{00000000-0005-0000-0000-0000D7050000}"/>
    <cellStyle name="Total 2 3 3" xfId="308" xr:uid="{00000000-0005-0000-0000-0000D8050000}"/>
    <cellStyle name="Total 2 3 3 2" xfId="419" xr:uid="{00000000-0005-0000-0000-0000D9050000}"/>
    <cellStyle name="Total 2 3 3 2 2" xfId="779" xr:uid="{00000000-0005-0000-0000-0000DA050000}"/>
    <cellStyle name="Total 2 3 3 2 2 2" xfId="1263" xr:uid="{00000000-0005-0000-0000-0000DB050000}"/>
    <cellStyle name="Total 2 3 3 2 3" xfId="1264" xr:uid="{00000000-0005-0000-0000-0000DC050000}"/>
    <cellStyle name="Total 2 3 3 2 4" xfId="1521" xr:uid="{00000000-0005-0000-0000-0000DD050000}"/>
    <cellStyle name="Total 2 3 3 2 5" xfId="1629" xr:uid="{00000000-0005-0000-0000-0000DE050000}"/>
    <cellStyle name="Total 2 3 3 3" xfId="500" xr:uid="{00000000-0005-0000-0000-0000DF050000}"/>
    <cellStyle name="Total 2 3 3 3 2" xfId="860" xr:uid="{00000000-0005-0000-0000-0000E0050000}"/>
    <cellStyle name="Total 2 3 3 4" xfId="581" xr:uid="{00000000-0005-0000-0000-0000E1050000}"/>
    <cellStyle name="Total 2 3 3 4 2" xfId="941" xr:uid="{00000000-0005-0000-0000-0000E2050000}"/>
    <cellStyle name="Total 2 3 3 5" xfId="668" xr:uid="{00000000-0005-0000-0000-0000E3050000}"/>
    <cellStyle name="Total 2 3 3 6" xfId="1520" xr:uid="{00000000-0005-0000-0000-0000E4050000}"/>
    <cellStyle name="Total 2 3 3 7" xfId="1628" xr:uid="{00000000-0005-0000-0000-0000E5050000}"/>
    <cellStyle name="Total 2 3 4" xfId="359" xr:uid="{00000000-0005-0000-0000-0000E6050000}"/>
    <cellStyle name="Total 2 3 4 2" xfId="719" xr:uid="{00000000-0005-0000-0000-0000E7050000}"/>
    <cellStyle name="Total 2 3 4 2 2" xfId="1265" xr:uid="{00000000-0005-0000-0000-0000E8050000}"/>
    <cellStyle name="Total 2 3 4 3" xfId="1266" xr:uid="{00000000-0005-0000-0000-0000E9050000}"/>
    <cellStyle name="Total 2 3 4 4" xfId="1522" xr:uid="{00000000-0005-0000-0000-0000EA050000}"/>
    <cellStyle name="Total 2 3 4 5" xfId="1630" xr:uid="{00000000-0005-0000-0000-0000EB050000}"/>
    <cellStyle name="Total 2 3 5" xfId="440" xr:uid="{00000000-0005-0000-0000-0000EC050000}"/>
    <cellStyle name="Total 2 3 5 2" xfId="800" xr:uid="{00000000-0005-0000-0000-0000ED050000}"/>
    <cellStyle name="Total 2 3 6" xfId="521" xr:uid="{00000000-0005-0000-0000-0000EE050000}"/>
    <cellStyle name="Total 2 3 6 2" xfId="881" xr:uid="{00000000-0005-0000-0000-0000EF050000}"/>
    <cellStyle name="Total 2 3 7" xfId="612" xr:uid="{00000000-0005-0000-0000-0000F0050000}"/>
    <cellStyle name="Total 2 3 8" xfId="1517" xr:uid="{00000000-0005-0000-0000-0000F1050000}"/>
    <cellStyle name="Total 2 3 9" xfId="1625" xr:uid="{00000000-0005-0000-0000-0000F2050000}"/>
    <cellStyle name="Total 2 4" xfId="309" xr:uid="{00000000-0005-0000-0000-0000F3050000}"/>
    <cellStyle name="Total 2 4 2" xfId="385" xr:uid="{00000000-0005-0000-0000-0000F4050000}"/>
    <cellStyle name="Total 2 4 2 2" xfId="745" xr:uid="{00000000-0005-0000-0000-0000F5050000}"/>
    <cellStyle name="Total 2 4 2 2 2" xfId="1267" xr:uid="{00000000-0005-0000-0000-0000F6050000}"/>
    <cellStyle name="Total 2 4 2 3" xfId="1268" xr:uid="{00000000-0005-0000-0000-0000F7050000}"/>
    <cellStyle name="Total 2 4 2 4" xfId="1524" xr:uid="{00000000-0005-0000-0000-0000F8050000}"/>
    <cellStyle name="Total 2 4 2 5" xfId="1632" xr:uid="{00000000-0005-0000-0000-0000F9050000}"/>
    <cellStyle name="Total 2 4 3" xfId="466" xr:uid="{00000000-0005-0000-0000-0000FA050000}"/>
    <cellStyle name="Total 2 4 3 2" xfId="826" xr:uid="{00000000-0005-0000-0000-0000FB050000}"/>
    <cellStyle name="Total 2 4 4" xfId="547" xr:uid="{00000000-0005-0000-0000-0000FC050000}"/>
    <cellStyle name="Total 2 4 4 2" xfId="907" xr:uid="{00000000-0005-0000-0000-0000FD050000}"/>
    <cellStyle name="Total 2 4 5" xfId="669" xr:uid="{00000000-0005-0000-0000-0000FE050000}"/>
    <cellStyle name="Total 2 4 6" xfId="1523" xr:uid="{00000000-0005-0000-0000-0000FF050000}"/>
    <cellStyle name="Total 2 4 7" xfId="1631" xr:uid="{00000000-0005-0000-0000-000000060000}"/>
    <cellStyle name="Total 2 5" xfId="310" xr:uid="{00000000-0005-0000-0000-000001060000}"/>
    <cellStyle name="Total 2 5 2" xfId="401" xr:uid="{00000000-0005-0000-0000-000002060000}"/>
    <cellStyle name="Total 2 5 2 2" xfId="761" xr:uid="{00000000-0005-0000-0000-000003060000}"/>
    <cellStyle name="Total 2 5 2 2 2" xfId="1269" xr:uid="{00000000-0005-0000-0000-000004060000}"/>
    <cellStyle name="Total 2 5 2 3" xfId="1270" xr:uid="{00000000-0005-0000-0000-000005060000}"/>
    <cellStyle name="Total 2 5 2 4" xfId="1526" xr:uid="{00000000-0005-0000-0000-000006060000}"/>
    <cellStyle name="Total 2 5 2 5" xfId="1634" xr:uid="{00000000-0005-0000-0000-000007060000}"/>
    <cellStyle name="Total 2 5 3" xfId="482" xr:uid="{00000000-0005-0000-0000-000008060000}"/>
    <cellStyle name="Total 2 5 3 2" xfId="842" xr:uid="{00000000-0005-0000-0000-000009060000}"/>
    <cellStyle name="Total 2 5 4" xfId="563" xr:uid="{00000000-0005-0000-0000-00000A060000}"/>
    <cellStyle name="Total 2 5 4 2" xfId="923" xr:uid="{00000000-0005-0000-0000-00000B060000}"/>
    <cellStyle name="Total 2 5 5" xfId="670" xr:uid="{00000000-0005-0000-0000-00000C060000}"/>
    <cellStyle name="Total 2 5 6" xfId="1525" xr:uid="{00000000-0005-0000-0000-00000D060000}"/>
    <cellStyle name="Total 2 5 7" xfId="1633" xr:uid="{00000000-0005-0000-0000-00000E060000}"/>
    <cellStyle name="Total 2 6" xfId="341" xr:uid="{00000000-0005-0000-0000-00000F060000}"/>
    <cellStyle name="Total 2 6 2" xfId="701" xr:uid="{00000000-0005-0000-0000-000010060000}"/>
    <cellStyle name="Total 2 6 2 2" xfId="1271" xr:uid="{00000000-0005-0000-0000-000011060000}"/>
    <cellStyle name="Total 2 6 3" xfId="1272" xr:uid="{00000000-0005-0000-0000-000012060000}"/>
    <cellStyle name="Total 2 6 4" xfId="1527" xr:uid="{00000000-0005-0000-0000-000013060000}"/>
    <cellStyle name="Total 2 6 5" xfId="1635" xr:uid="{00000000-0005-0000-0000-000014060000}"/>
    <cellStyle name="Total 2 7" xfId="315" xr:uid="{00000000-0005-0000-0000-000015060000}"/>
    <cellStyle name="Total 2 7 2" xfId="675" xr:uid="{00000000-0005-0000-0000-000016060000}"/>
    <cellStyle name="Total 2 7 2 2" xfId="1273" xr:uid="{00000000-0005-0000-0000-000017060000}"/>
    <cellStyle name="Total 2 7 3" xfId="1274" xr:uid="{00000000-0005-0000-0000-000018060000}"/>
    <cellStyle name="Total 2 7 4" xfId="1275" xr:uid="{00000000-0005-0000-0000-000019060000}"/>
    <cellStyle name="Total 2 8" xfId="340" xr:uid="{00000000-0005-0000-0000-00001A060000}"/>
    <cellStyle name="Total 2 8 2" xfId="700" xr:uid="{00000000-0005-0000-0000-00001B060000}"/>
    <cellStyle name="Total 2 9" xfId="609" xr:uid="{00000000-0005-0000-0000-00001C060000}"/>
    <cellStyle name="Total 3" xfId="251" xr:uid="{00000000-0005-0000-0000-00001D060000}"/>
    <cellStyle name="Total 3 10" xfId="1636" xr:uid="{00000000-0005-0000-0000-00001E060000}"/>
    <cellStyle name="Total 3 2" xfId="252" xr:uid="{00000000-0005-0000-0000-00001F060000}"/>
    <cellStyle name="Total 3 2 2" xfId="311" xr:uid="{00000000-0005-0000-0000-000020060000}"/>
    <cellStyle name="Total 3 2 2 2" xfId="370" xr:uid="{00000000-0005-0000-0000-000021060000}"/>
    <cellStyle name="Total 3 2 2 2 2" xfId="730" xr:uid="{00000000-0005-0000-0000-000022060000}"/>
    <cellStyle name="Total 3 2 2 2 2 2" xfId="1276" xr:uid="{00000000-0005-0000-0000-000023060000}"/>
    <cellStyle name="Total 3 2 2 2 3" xfId="1277" xr:uid="{00000000-0005-0000-0000-000024060000}"/>
    <cellStyle name="Total 3 2 2 2 4" xfId="1531" xr:uid="{00000000-0005-0000-0000-000025060000}"/>
    <cellStyle name="Total 3 2 2 2 5" xfId="1639" xr:uid="{00000000-0005-0000-0000-000026060000}"/>
    <cellStyle name="Total 3 2 2 3" xfId="451" xr:uid="{00000000-0005-0000-0000-000027060000}"/>
    <cellStyle name="Total 3 2 2 3 2" xfId="811" xr:uid="{00000000-0005-0000-0000-000028060000}"/>
    <cellStyle name="Total 3 2 2 4" xfId="532" xr:uid="{00000000-0005-0000-0000-000029060000}"/>
    <cellStyle name="Total 3 2 2 4 2" xfId="892" xr:uid="{00000000-0005-0000-0000-00002A060000}"/>
    <cellStyle name="Total 3 2 2 5" xfId="671" xr:uid="{00000000-0005-0000-0000-00002B060000}"/>
    <cellStyle name="Total 3 2 2 6" xfId="1530" xr:uid="{00000000-0005-0000-0000-00002C060000}"/>
    <cellStyle name="Total 3 2 2 7" xfId="1638" xr:uid="{00000000-0005-0000-0000-00002D060000}"/>
    <cellStyle name="Total 3 2 3" xfId="312" xr:uid="{00000000-0005-0000-0000-00002E060000}"/>
    <cellStyle name="Total 3 2 3 2" xfId="416" xr:uid="{00000000-0005-0000-0000-00002F060000}"/>
    <cellStyle name="Total 3 2 3 2 2" xfId="776" xr:uid="{00000000-0005-0000-0000-000030060000}"/>
    <cellStyle name="Total 3 2 3 2 2 2" xfId="1278" xr:uid="{00000000-0005-0000-0000-000031060000}"/>
    <cellStyle name="Total 3 2 3 2 3" xfId="1279" xr:uid="{00000000-0005-0000-0000-000032060000}"/>
    <cellStyle name="Total 3 2 3 2 4" xfId="1533" xr:uid="{00000000-0005-0000-0000-000033060000}"/>
    <cellStyle name="Total 3 2 3 2 5" xfId="1641" xr:uid="{00000000-0005-0000-0000-000034060000}"/>
    <cellStyle name="Total 3 2 3 3" xfId="497" xr:uid="{00000000-0005-0000-0000-000035060000}"/>
    <cellStyle name="Total 3 2 3 3 2" xfId="857" xr:uid="{00000000-0005-0000-0000-000036060000}"/>
    <cellStyle name="Total 3 2 3 4" xfId="578" xr:uid="{00000000-0005-0000-0000-000037060000}"/>
    <cellStyle name="Total 3 2 3 4 2" xfId="938" xr:uid="{00000000-0005-0000-0000-000038060000}"/>
    <cellStyle name="Total 3 2 3 5" xfId="672" xr:uid="{00000000-0005-0000-0000-000039060000}"/>
    <cellStyle name="Total 3 2 3 6" xfId="1532" xr:uid="{00000000-0005-0000-0000-00003A060000}"/>
    <cellStyle name="Total 3 2 3 7" xfId="1640" xr:uid="{00000000-0005-0000-0000-00003B060000}"/>
    <cellStyle name="Total 3 2 4" xfId="356" xr:uid="{00000000-0005-0000-0000-00003C060000}"/>
    <cellStyle name="Total 3 2 4 2" xfId="716" xr:uid="{00000000-0005-0000-0000-00003D060000}"/>
    <cellStyle name="Total 3 2 4 2 2" xfId="1280" xr:uid="{00000000-0005-0000-0000-00003E060000}"/>
    <cellStyle name="Total 3 2 4 3" xfId="1281" xr:uid="{00000000-0005-0000-0000-00003F060000}"/>
    <cellStyle name="Total 3 2 4 4" xfId="1534" xr:uid="{00000000-0005-0000-0000-000040060000}"/>
    <cellStyle name="Total 3 2 4 5" xfId="1642" xr:uid="{00000000-0005-0000-0000-000041060000}"/>
    <cellStyle name="Total 3 2 5" xfId="437" xr:uid="{00000000-0005-0000-0000-000042060000}"/>
    <cellStyle name="Total 3 2 5 2" xfId="797" xr:uid="{00000000-0005-0000-0000-000043060000}"/>
    <cellStyle name="Total 3 2 6" xfId="518" xr:uid="{00000000-0005-0000-0000-000044060000}"/>
    <cellStyle name="Total 3 2 6 2" xfId="878" xr:uid="{00000000-0005-0000-0000-000045060000}"/>
    <cellStyle name="Total 3 2 7" xfId="614" xr:uid="{00000000-0005-0000-0000-000046060000}"/>
    <cellStyle name="Total 3 2 8" xfId="1529" xr:uid="{00000000-0005-0000-0000-000047060000}"/>
    <cellStyle name="Total 3 2 9" xfId="1637" xr:uid="{00000000-0005-0000-0000-000048060000}"/>
    <cellStyle name="Total 3 3" xfId="313" xr:uid="{00000000-0005-0000-0000-000049060000}"/>
    <cellStyle name="Total 3 3 2" xfId="384" xr:uid="{00000000-0005-0000-0000-00004A060000}"/>
    <cellStyle name="Total 3 3 2 2" xfId="744" xr:uid="{00000000-0005-0000-0000-00004B060000}"/>
    <cellStyle name="Total 3 3 2 2 2" xfId="1282" xr:uid="{00000000-0005-0000-0000-00004C060000}"/>
    <cellStyle name="Total 3 3 2 3" xfId="1283" xr:uid="{00000000-0005-0000-0000-00004D060000}"/>
    <cellStyle name="Total 3 3 2 4" xfId="1536" xr:uid="{00000000-0005-0000-0000-00004E060000}"/>
    <cellStyle name="Total 3 3 2 5" xfId="1644" xr:uid="{00000000-0005-0000-0000-00004F060000}"/>
    <cellStyle name="Total 3 3 3" xfId="465" xr:uid="{00000000-0005-0000-0000-000050060000}"/>
    <cellStyle name="Total 3 3 3 2" xfId="825" xr:uid="{00000000-0005-0000-0000-000051060000}"/>
    <cellStyle name="Total 3 3 4" xfId="546" xr:uid="{00000000-0005-0000-0000-000052060000}"/>
    <cellStyle name="Total 3 3 4 2" xfId="906" xr:uid="{00000000-0005-0000-0000-000053060000}"/>
    <cellStyle name="Total 3 3 5" xfId="673" xr:uid="{00000000-0005-0000-0000-000054060000}"/>
    <cellStyle name="Total 3 3 6" xfId="1535" xr:uid="{00000000-0005-0000-0000-000055060000}"/>
    <cellStyle name="Total 3 3 7" xfId="1643" xr:uid="{00000000-0005-0000-0000-000056060000}"/>
    <cellStyle name="Total 3 4" xfId="314" xr:uid="{00000000-0005-0000-0000-000057060000}"/>
    <cellStyle name="Total 3 4 2" xfId="402" xr:uid="{00000000-0005-0000-0000-000058060000}"/>
    <cellStyle name="Total 3 4 2 2" xfId="762" xr:uid="{00000000-0005-0000-0000-000059060000}"/>
    <cellStyle name="Total 3 4 2 2 2" xfId="1284" xr:uid="{00000000-0005-0000-0000-00005A060000}"/>
    <cellStyle name="Total 3 4 2 3" xfId="1285" xr:uid="{00000000-0005-0000-0000-00005B060000}"/>
    <cellStyle name="Total 3 4 2 4" xfId="1538" xr:uid="{00000000-0005-0000-0000-00005C060000}"/>
    <cellStyle name="Total 3 4 2 5" xfId="1646" xr:uid="{00000000-0005-0000-0000-00005D060000}"/>
    <cellStyle name="Total 3 4 3" xfId="483" xr:uid="{00000000-0005-0000-0000-00005E060000}"/>
    <cellStyle name="Total 3 4 3 2" xfId="843" xr:uid="{00000000-0005-0000-0000-00005F060000}"/>
    <cellStyle name="Total 3 4 4" xfId="564" xr:uid="{00000000-0005-0000-0000-000060060000}"/>
    <cellStyle name="Total 3 4 4 2" xfId="924" xr:uid="{00000000-0005-0000-0000-000061060000}"/>
    <cellStyle name="Total 3 4 5" xfId="674" xr:uid="{00000000-0005-0000-0000-000062060000}"/>
    <cellStyle name="Total 3 4 6" xfId="1537" xr:uid="{00000000-0005-0000-0000-000063060000}"/>
    <cellStyle name="Total 3 4 7" xfId="1645" xr:uid="{00000000-0005-0000-0000-000064060000}"/>
    <cellStyle name="Total 3 5" xfId="342" xr:uid="{00000000-0005-0000-0000-000065060000}"/>
    <cellStyle name="Total 3 5 2" xfId="702" xr:uid="{00000000-0005-0000-0000-000066060000}"/>
    <cellStyle name="Total 3 5 2 2" xfId="1286" xr:uid="{00000000-0005-0000-0000-000067060000}"/>
    <cellStyle name="Total 3 5 3" xfId="1287" xr:uid="{00000000-0005-0000-0000-000068060000}"/>
    <cellStyle name="Total 3 5 4" xfId="1539" xr:uid="{00000000-0005-0000-0000-000069060000}"/>
    <cellStyle name="Total 3 5 5" xfId="1647" xr:uid="{00000000-0005-0000-0000-00006A060000}"/>
    <cellStyle name="Total 3 6" xfId="423" xr:uid="{00000000-0005-0000-0000-00006B060000}"/>
    <cellStyle name="Total 3 6 2" xfId="783" xr:uid="{00000000-0005-0000-0000-00006C060000}"/>
    <cellStyle name="Total 3 7" xfId="504" xr:uid="{00000000-0005-0000-0000-00006D060000}"/>
    <cellStyle name="Total 3 7 2" xfId="864" xr:uid="{00000000-0005-0000-0000-00006E060000}"/>
    <cellStyle name="Total 3 8" xfId="613" xr:uid="{00000000-0005-0000-0000-00006F060000}"/>
    <cellStyle name="Total 3 9" xfId="1528" xr:uid="{00000000-0005-0000-0000-000070060000}"/>
    <cellStyle name="Warning Text 2" xfId="253" xr:uid="{00000000-0005-0000-0000-000071060000}"/>
    <cellStyle name="Warning Text 3" xfId="254" xr:uid="{00000000-0005-0000-0000-000072060000}"/>
  </cellStyles>
  <dxfs count="93">
    <dxf>
      <fill>
        <patternFill>
          <bgColor theme="4" tint="0.79998168889431442"/>
        </patternFill>
      </fill>
    </dxf>
    <dxf>
      <fill>
        <patternFill>
          <bgColor rgb="FFBEE395"/>
        </patternFill>
      </fill>
    </dxf>
    <dxf>
      <fill>
        <patternFill>
          <bgColor theme="4" tint="0.79998168889431442"/>
        </patternFill>
      </fill>
    </dxf>
    <dxf>
      <fill>
        <patternFill>
          <bgColor rgb="FFBEE395"/>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numFmt numFmtId="30" formatCode="@"/>
      <fill>
        <patternFill>
          <bgColor theme="8" tint="0.79998168889431442"/>
        </patternFill>
      </fill>
    </dxf>
    <dxf>
      <numFmt numFmtId="30" formatCode="@"/>
      <fill>
        <patternFill>
          <bgColor theme="8" tint="0.79998168889431442"/>
        </patternFill>
      </fill>
    </dxf>
    <dxf>
      <numFmt numFmtId="30" formatCode="@"/>
      <fill>
        <patternFill>
          <bgColor theme="8" tint="0.79998168889431442"/>
        </patternFill>
      </fill>
    </dxf>
    <dxf>
      <numFmt numFmtId="30" formatCode="@"/>
      <fill>
        <patternFill>
          <bgColor theme="8" tint="0.79998168889431442"/>
        </patternFill>
      </fill>
    </dxf>
    <dxf>
      <numFmt numFmtId="30" formatCode="@"/>
      <fill>
        <patternFill>
          <bgColor theme="8"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4"/>
        </patternFill>
      </fill>
    </dxf>
    <dxf>
      <fill>
        <patternFill>
          <bgColor theme="1"/>
        </patternFill>
      </fill>
    </dxf>
    <dxf>
      <fill>
        <patternFill>
          <bgColor theme="1"/>
        </patternFill>
      </fill>
    </dxf>
    <dxf>
      <fill>
        <patternFill>
          <bgColor theme="1"/>
        </patternFill>
      </fill>
    </dxf>
    <dxf>
      <fill>
        <patternFill patternType="gray125">
          <fgColor theme="0"/>
          <bgColor theme="8" tint="0.79998168889431442"/>
        </patternFill>
      </fill>
    </dxf>
    <dxf>
      <fill>
        <patternFill patternType="gray125">
          <fgColor theme="0"/>
          <bgColor theme="8" tint="0.79998168889431442"/>
        </patternFill>
      </fill>
    </dxf>
    <dxf>
      <font>
        <color auto="1"/>
      </font>
      <fill>
        <patternFill>
          <bgColor rgb="FFC6EFCE"/>
        </patternFill>
      </fill>
    </dxf>
    <dxf>
      <font>
        <color auto="1"/>
      </font>
      <fill>
        <patternFill>
          <bgColor rgb="FFFFC7CE"/>
        </patternFill>
      </fill>
    </dxf>
    <dxf>
      <font>
        <color auto="1"/>
      </font>
      <fill>
        <patternFill>
          <bgColor rgb="FFC6EFCE"/>
        </patternFill>
      </fill>
    </dxf>
    <dxf>
      <font>
        <color auto="1"/>
      </font>
      <fill>
        <patternFill>
          <bgColor rgb="FFFFC7CE"/>
        </patternFill>
      </fill>
    </dxf>
    <dxf>
      <fill>
        <patternFill>
          <bgColor rgb="FF00B050"/>
        </patternFill>
      </fill>
    </dxf>
    <dxf>
      <fill>
        <patternFill>
          <bgColor rgb="FFFF0000"/>
        </patternFill>
      </fill>
    </dxf>
    <dxf>
      <fill>
        <patternFill>
          <bgColor rgb="FF00B05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2" tint="-0.24994659260841701"/>
        </patternFill>
      </fill>
    </dxf>
    <dxf>
      <fill>
        <patternFill>
          <bgColor rgb="FF00B050"/>
        </patternFill>
      </fill>
    </dxf>
    <dxf>
      <fill>
        <patternFill>
          <bgColor rgb="FFFF0000"/>
        </patternFill>
      </fill>
    </dxf>
    <dxf>
      <fill>
        <patternFill>
          <bgColor theme="2" tint="-0.24994659260841701"/>
        </patternFill>
      </fill>
    </dxf>
    <dxf>
      <fill>
        <patternFill>
          <bgColor theme="2" tint="-0.24994659260841701"/>
        </patternFill>
      </fill>
    </dxf>
    <dxf>
      <fill>
        <patternFill>
          <bgColor rgb="FF58E67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theme="9" tint="0.59996337778862885"/>
        </patternFill>
      </fill>
    </dxf>
    <dxf>
      <fill>
        <patternFill>
          <bgColor rgb="FFFF0000"/>
        </patternFill>
      </fill>
      <border>
        <left style="thin">
          <color auto="1"/>
        </left>
        <right style="thin">
          <color auto="1"/>
        </right>
        <top style="thin">
          <color auto="1"/>
        </top>
        <bottom style="thin">
          <color auto="1"/>
        </bottom>
        <vertical/>
        <horizontal/>
      </border>
    </dxf>
    <dxf>
      <fill>
        <patternFill>
          <bgColor theme="9" tint="0.59996337778862885"/>
        </patternFill>
      </fill>
    </dxf>
    <dxf>
      <fill>
        <patternFill>
          <bgColor rgb="FFFF0000"/>
        </patternFill>
      </fill>
      <border>
        <left style="thin">
          <color auto="1"/>
        </left>
        <right style="thin">
          <color auto="1"/>
        </right>
        <top style="thin">
          <color auto="1"/>
        </top>
        <bottom style="thin">
          <color auto="1"/>
        </bottom>
        <vertical/>
        <horizontal/>
      </border>
    </dxf>
    <dxf>
      <font>
        <color auto="1"/>
      </font>
      <fill>
        <patternFill>
          <bgColor rgb="FFC6EFCE"/>
        </patternFill>
      </fill>
    </dxf>
    <dxf>
      <font>
        <color auto="1"/>
      </font>
      <fill>
        <patternFill>
          <bgColor rgb="FFFFC7CE"/>
        </patternFill>
      </fill>
    </dxf>
    <dxf>
      <font>
        <color auto="1"/>
      </font>
      <fill>
        <patternFill>
          <bgColor rgb="FFC6EFCE"/>
        </patternFill>
      </fill>
    </dxf>
    <dxf>
      <font>
        <color auto="1"/>
      </font>
      <fill>
        <patternFill>
          <bgColor rgb="FFFFC7CE"/>
        </patternFill>
      </fill>
    </dxf>
    <dxf>
      <font>
        <color auto="1"/>
      </font>
      <fill>
        <patternFill>
          <bgColor rgb="FFC6EFCE"/>
        </patternFill>
      </fill>
    </dxf>
    <dxf>
      <font>
        <color auto="1"/>
      </font>
      <fill>
        <patternFill>
          <bgColor rgb="FFFFC7CE"/>
        </patternFill>
      </fill>
    </dxf>
    <dxf>
      <font>
        <color auto="1"/>
      </font>
      <fill>
        <patternFill>
          <bgColor rgb="FFC6EFCE"/>
        </patternFill>
      </fill>
    </dxf>
    <dxf>
      <font>
        <color auto="1"/>
      </font>
      <fill>
        <patternFill>
          <bgColor rgb="FFFFC7CE"/>
        </patternFill>
      </fill>
    </dxf>
    <dxf>
      <fill>
        <patternFill>
          <bgColor theme="2" tint="-0.24994659260841701"/>
        </patternFill>
      </fill>
    </dxf>
    <dxf>
      <fill>
        <patternFill>
          <bgColor theme="2" tint="-0.24994659260841701"/>
        </patternFill>
      </fill>
    </dxf>
    <dxf>
      <fill>
        <patternFill>
          <bgColor theme="2" tint="-0.24994659260841701"/>
        </patternFill>
      </fill>
    </dxf>
  </dxfs>
  <tableStyles count="1" defaultTableStyle="TableStyleMedium2" defaultPivotStyle="PivotStyleLight16">
    <tableStyle name="PivotTable Style 1" table="0" count="0" xr9:uid="{00000000-0011-0000-FFFF-FFFF00000000}"/>
  </tableStyles>
  <colors>
    <mruColors>
      <color rgb="FF66FFFF"/>
      <color rgb="FFFFC7CE"/>
      <color rgb="FFBEE395"/>
      <color rgb="FF99FFCC"/>
      <color rgb="FF99FF99"/>
      <color rgb="FF9C0006"/>
      <color rgb="FF006100"/>
      <color rgb="FFC6EFCE"/>
      <color rgb="FF008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fmlaLink="$C$68" lockText="1" noThreeD="1"/>
</file>

<file path=xl/ctrlProps/ctrlProp2.xml><?xml version="1.0" encoding="utf-8"?>
<formControlPr xmlns="http://schemas.microsoft.com/office/spreadsheetml/2009/9/main" objectType="CheckBox" fmlaLink="$F$68" lockText="1" noThreeD="1"/>
</file>

<file path=xl/ctrlProps/ctrlProp3.xml><?xml version="1.0" encoding="utf-8"?>
<formControlPr xmlns="http://schemas.microsoft.com/office/spreadsheetml/2009/9/main" objectType="CheckBox" fmlaLink="$I$6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39</xdr:row>
      <xdr:rowOff>0</xdr:rowOff>
    </xdr:from>
    <xdr:to>
      <xdr:col>8</xdr:col>
      <xdr:colOff>1134849</xdr:colOff>
      <xdr:row>52</xdr:row>
      <xdr:rowOff>171452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6200" y="7724775"/>
          <a:ext cx="4343409" cy="2286005"/>
        </a:xfrm>
        <a:prstGeom prst="rect">
          <a:avLst/>
        </a:prstGeom>
      </xdr:spPr>
    </xdr:pic>
    <xdr:clientData/>
  </xdr:twoCellAnchor>
  <xdr:twoCellAnchor>
    <xdr:from>
      <xdr:col>1</xdr:col>
      <xdr:colOff>3009900</xdr:colOff>
      <xdr:row>67</xdr:row>
      <xdr:rowOff>342900</xdr:rowOff>
    </xdr:from>
    <xdr:to>
      <xdr:col>2</xdr:col>
      <xdr:colOff>0</xdr:colOff>
      <xdr:row>68</xdr:row>
      <xdr:rowOff>1</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flipH="1" flipV="1">
          <a:off x="3209925" y="14401800"/>
          <a:ext cx="9525" cy="428626"/>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238125</xdr:colOff>
          <xdr:row>66</xdr:row>
          <xdr:rowOff>219075</xdr:rowOff>
        </xdr:from>
        <xdr:to>
          <xdr:col>2</xdr:col>
          <xdr:colOff>704850</xdr:colOff>
          <xdr:row>68</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67</xdr:row>
          <xdr:rowOff>38100</xdr:rowOff>
        </xdr:from>
        <xdr:to>
          <xdr:col>5</xdr:col>
          <xdr:colOff>895350</xdr:colOff>
          <xdr:row>67</xdr:row>
          <xdr:rowOff>619125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xdr:row>
          <xdr:rowOff>219075</xdr:rowOff>
        </xdr:from>
        <xdr:to>
          <xdr:col>8</xdr:col>
          <xdr:colOff>981075</xdr:colOff>
          <xdr:row>67</xdr:row>
          <xdr:rowOff>428625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130510</xdr:colOff>
      <xdr:row>9</xdr:row>
      <xdr:rowOff>81434</xdr:rowOff>
    </xdr:from>
    <xdr:to>
      <xdr:col>4</xdr:col>
      <xdr:colOff>1238759</xdr:colOff>
      <xdr:row>13</xdr:row>
      <xdr:rowOff>103908</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3403646" y="1969116"/>
          <a:ext cx="2069408" cy="11394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15</xdr:col>
      <xdr:colOff>360705</xdr:colOff>
      <xdr:row>43</xdr:row>
      <xdr:rowOff>132428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85800" y="542925"/>
          <a:ext cx="9961905" cy="7371428"/>
        </a:xfrm>
        <a:prstGeom prst="rect">
          <a:avLst/>
        </a:prstGeom>
      </xdr:spPr>
    </xdr:pic>
    <xdr:clientData/>
  </xdr:twoCellAnchor>
  <xdr:twoCellAnchor editAs="oneCell">
    <xdr:from>
      <xdr:col>1</xdr:col>
      <xdr:colOff>0</xdr:colOff>
      <xdr:row>45</xdr:row>
      <xdr:rowOff>0</xdr:rowOff>
    </xdr:from>
    <xdr:to>
      <xdr:col>19</xdr:col>
      <xdr:colOff>503219</xdr:colOff>
      <xdr:row>67</xdr:row>
      <xdr:rowOff>75693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685800" y="8143875"/>
          <a:ext cx="12847619" cy="40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304803</xdr:colOff>
      <xdr:row>10</xdr:row>
      <xdr:rowOff>9525</xdr:rowOff>
    </xdr:from>
    <xdr:to>
      <xdr:col>7</xdr:col>
      <xdr:colOff>1402074</xdr:colOff>
      <xdr:row>19</xdr:row>
      <xdr:rowOff>123825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19653" y="1914525"/>
          <a:ext cx="3345171" cy="182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earesult5-my.sharepoint.com/Users/Jeff%20C/Desktop/Copy%20of%20ASHRAE%20622%2013%20Whole%20Bldg%20VentWrksh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y Sheet"/>
      <sheetName val="Data Sheet"/>
      <sheetName val="Intermittent Control"/>
      <sheetName val="IntCalc"/>
      <sheetName val="Sheet3"/>
      <sheetName val="Sheet1"/>
      <sheetName val="Sheet2"/>
      <sheetName val="Report"/>
    </sheetNames>
    <sheetDataSet>
      <sheetData sheetId="0" refreshError="1"/>
      <sheetData sheetId="1">
        <row r="3">
          <cell r="D3">
            <v>1</v>
          </cell>
        </row>
        <row r="4">
          <cell r="D4">
            <v>1.5</v>
          </cell>
        </row>
        <row r="5">
          <cell r="D5">
            <v>2</v>
          </cell>
        </row>
        <row r="6">
          <cell r="D6">
            <v>2.5</v>
          </cell>
        </row>
        <row r="7">
          <cell r="D7">
            <v>3</v>
          </cell>
        </row>
        <row r="10">
          <cell r="D10" t="str">
            <v>Yes</v>
          </cell>
        </row>
        <row r="11">
          <cell r="D11" t="str">
            <v>No</v>
          </cell>
        </row>
      </sheetData>
      <sheetData sheetId="2" refreshError="1"/>
      <sheetData sheetId="3" refreshError="1"/>
      <sheetData sheetId="4" refreshError="1"/>
      <sheetData sheetId="5">
        <row r="2">
          <cell r="A2" t="str">
            <v>Alabama</v>
          </cell>
          <cell r="B2">
            <v>0.106</v>
          </cell>
        </row>
        <row r="3">
          <cell r="A3" t="str">
            <v>Alaska</v>
          </cell>
          <cell r="B3">
            <v>0.16600000000000001</v>
          </cell>
        </row>
        <row r="4">
          <cell r="A4" t="str">
            <v>Alberta</v>
          </cell>
          <cell r="B4">
            <v>0.10463</v>
          </cell>
        </row>
        <row r="5">
          <cell r="A5" t="str">
            <v>Arizona</v>
          </cell>
          <cell r="B5">
            <v>0.1106</v>
          </cell>
        </row>
        <row r="6">
          <cell r="A6" t="str">
            <v>Arkansas</v>
          </cell>
          <cell r="B6">
            <v>0.09</v>
          </cell>
        </row>
        <row r="7">
          <cell r="A7" t="str">
            <v>BritColumbia</v>
          </cell>
          <cell r="B7">
            <v>8.2709999999999992E-2</v>
          </cell>
        </row>
        <row r="8">
          <cell r="A8" t="str">
            <v>California</v>
          </cell>
          <cell r="B8">
            <v>0.153</v>
          </cell>
        </row>
        <row r="9">
          <cell r="A9" t="str">
            <v>Colorado</v>
          </cell>
          <cell r="B9">
            <v>0.1123</v>
          </cell>
        </row>
        <row r="10">
          <cell r="A10" t="str">
            <v>Connecticut</v>
          </cell>
          <cell r="B10">
            <v>0.193</v>
          </cell>
        </row>
        <row r="11">
          <cell r="A11" t="str">
            <v>Delaware</v>
          </cell>
          <cell r="B11">
            <v>0.13719999999999999</v>
          </cell>
        </row>
        <row r="12">
          <cell r="A12" t="str">
            <v>Florida</v>
          </cell>
          <cell r="B12">
            <v>0.11310000000000001</v>
          </cell>
        </row>
        <row r="13">
          <cell r="A13" t="str">
            <v>Georgia</v>
          </cell>
          <cell r="B13">
            <v>0.10150000000000001</v>
          </cell>
        </row>
        <row r="14">
          <cell r="A14" t="str">
            <v>Hawaii</v>
          </cell>
          <cell r="B14">
            <v>0.27729999999999999</v>
          </cell>
        </row>
        <row r="15">
          <cell r="A15" t="str">
            <v>Idaho</v>
          </cell>
          <cell r="B15">
            <v>8.0399999999999999E-2</v>
          </cell>
        </row>
        <row r="16">
          <cell r="A16" t="str">
            <v>Illinois</v>
          </cell>
          <cell r="B16">
            <v>0.1142</v>
          </cell>
        </row>
        <row r="17">
          <cell r="A17" t="str">
            <v>Indiana</v>
          </cell>
          <cell r="B17">
            <v>9.0999999999999998E-2</v>
          </cell>
        </row>
        <row r="18">
          <cell r="A18" t="str">
            <v>Iowa</v>
          </cell>
          <cell r="B18">
            <v>0.1017</v>
          </cell>
        </row>
        <row r="19">
          <cell r="A19" t="str">
            <v>Kansas</v>
          </cell>
          <cell r="B19">
            <v>9.9900000000000003E-2</v>
          </cell>
        </row>
        <row r="20">
          <cell r="A20" t="str">
            <v>Kentucky</v>
          </cell>
          <cell r="B20">
            <v>8.2900000000000001E-2</v>
          </cell>
        </row>
        <row r="21">
          <cell r="A21" t="str">
            <v>Louisiana</v>
          </cell>
          <cell r="B21">
            <v>8.9899999999999994E-2</v>
          </cell>
        </row>
        <row r="22">
          <cell r="A22" t="str">
            <v>Maine</v>
          </cell>
          <cell r="B22">
            <v>0.15479999999999999</v>
          </cell>
        </row>
        <row r="23">
          <cell r="A23" t="str">
            <v>Manitoba</v>
          </cell>
          <cell r="B23">
            <v>7.3050000000000004E-2</v>
          </cell>
        </row>
        <row r="24">
          <cell r="A24" t="str">
            <v>Maryland</v>
          </cell>
          <cell r="B24">
            <v>0.14699999999999999</v>
          </cell>
        </row>
        <row r="25">
          <cell r="A25" t="str">
            <v>Massachusetts</v>
          </cell>
          <cell r="B25">
            <v>0.15290000000000001</v>
          </cell>
        </row>
        <row r="26">
          <cell r="A26" t="str">
            <v>Michigan</v>
          </cell>
          <cell r="B26">
            <v>0.12479999999999999</v>
          </cell>
        </row>
        <row r="27">
          <cell r="A27" t="str">
            <v>Minnesota</v>
          </cell>
          <cell r="B27">
            <v>0.1022</v>
          </cell>
        </row>
        <row r="28">
          <cell r="A28" t="str">
            <v>Mississippi</v>
          </cell>
          <cell r="B28">
            <v>9.8299999999999998E-2</v>
          </cell>
        </row>
        <row r="29">
          <cell r="A29" t="str">
            <v>Missouri</v>
          </cell>
          <cell r="B29">
            <v>8.9399999999999993E-2</v>
          </cell>
        </row>
        <row r="30">
          <cell r="A30" t="str">
            <v>Montana</v>
          </cell>
          <cell r="B30">
            <v>8.9899999999999994E-2</v>
          </cell>
        </row>
        <row r="31">
          <cell r="A31" t="str">
            <v>Nebraska</v>
          </cell>
          <cell r="B31">
            <v>8.8800000000000004E-2</v>
          </cell>
        </row>
        <row r="32">
          <cell r="A32" t="str">
            <v>Nevada</v>
          </cell>
          <cell r="B32">
            <v>0.12429999999999999</v>
          </cell>
        </row>
        <row r="33">
          <cell r="A33" t="str">
            <v>NewBrunswick</v>
          </cell>
          <cell r="B33">
            <v>0.11843000000000001</v>
          </cell>
        </row>
        <row r="34">
          <cell r="A34" t="str">
            <v>Newfoundland</v>
          </cell>
          <cell r="B34">
            <v>0.10986</v>
          </cell>
        </row>
        <row r="35">
          <cell r="A35" t="str">
            <v>NewHampshire</v>
          </cell>
          <cell r="B35">
            <v>0.16059999999999999</v>
          </cell>
        </row>
        <row r="36">
          <cell r="A36" t="str">
            <v>NewJersey</v>
          </cell>
          <cell r="B36">
            <v>0.16550000000000001</v>
          </cell>
        </row>
        <row r="37">
          <cell r="A37" t="str">
            <v>NewMexico</v>
          </cell>
          <cell r="B37">
            <v>0.10730000000000001</v>
          </cell>
        </row>
        <row r="38">
          <cell r="A38" t="str">
            <v>NewYork</v>
          </cell>
          <cell r="B38">
            <v>0.18629999999999999</v>
          </cell>
        </row>
        <row r="39">
          <cell r="A39" t="str">
            <v>NoCarolina</v>
          </cell>
          <cell r="B39">
            <v>0.1013</v>
          </cell>
        </row>
        <row r="40">
          <cell r="A40" t="str">
            <v>NoDakota</v>
          </cell>
          <cell r="B40">
            <v>7.9699999999999993E-2</v>
          </cell>
        </row>
        <row r="41">
          <cell r="A41" t="str">
            <v>NovaScotia</v>
          </cell>
          <cell r="B41">
            <v>0.13622999999999999</v>
          </cell>
        </row>
        <row r="42">
          <cell r="A42" t="str">
            <v>NWTerritories</v>
          </cell>
        </row>
        <row r="43">
          <cell r="A43" t="str">
            <v>Ohio</v>
          </cell>
          <cell r="B43">
            <v>0.1118</v>
          </cell>
        </row>
        <row r="44">
          <cell r="A44" t="str">
            <v>Oklahoma</v>
          </cell>
          <cell r="B44">
            <v>9.06E-2</v>
          </cell>
        </row>
        <row r="45">
          <cell r="A45" t="str">
            <v>Ontario</v>
          </cell>
          <cell r="B45">
            <v>0.14305999999999999</v>
          </cell>
        </row>
        <row r="46">
          <cell r="A46" t="str">
            <v>Oregon</v>
          </cell>
          <cell r="B46">
            <v>8.7999999999999995E-2</v>
          </cell>
        </row>
        <row r="47">
          <cell r="A47" t="str">
            <v>PEI</v>
          </cell>
          <cell r="B47">
            <v>0.14507</v>
          </cell>
        </row>
        <row r="48">
          <cell r="A48" t="str">
            <v>Pennsylvania</v>
          </cell>
          <cell r="B48">
            <v>0.12790000000000001</v>
          </cell>
        </row>
        <row r="49">
          <cell r="A49" t="str">
            <v>PuertoRico</v>
          </cell>
        </row>
        <row r="50">
          <cell r="A50" t="str">
            <v>Quebec</v>
          </cell>
          <cell r="B50">
            <v>6.8209999999999993E-2</v>
          </cell>
        </row>
        <row r="51">
          <cell r="A51" t="str">
            <v>RhodeIsland</v>
          </cell>
          <cell r="B51">
            <v>0.15989999999999999</v>
          </cell>
        </row>
        <row r="52">
          <cell r="A52" t="str">
            <v>Saskatchewan</v>
          </cell>
          <cell r="B52">
            <v>0.12537000000000001</v>
          </cell>
        </row>
        <row r="53">
          <cell r="A53" t="str">
            <v>SoCarolina</v>
          </cell>
          <cell r="B53">
            <v>0.1021</v>
          </cell>
        </row>
        <row r="54">
          <cell r="A54" t="str">
            <v>SoDakota</v>
          </cell>
          <cell r="B54">
            <v>8.7800000000000003E-2</v>
          </cell>
        </row>
        <row r="55">
          <cell r="A55" t="str">
            <v>Tennessee</v>
          </cell>
          <cell r="B55">
            <v>8.9700000000000002E-2</v>
          </cell>
        </row>
        <row r="56">
          <cell r="A56" t="str">
            <v>Texas</v>
          </cell>
          <cell r="B56">
            <v>0.1195</v>
          </cell>
        </row>
        <row r="57">
          <cell r="A57" t="str">
            <v>Utah</v>
          </cell>
          <cell r="B57">
            <v>8.8599999999999998E-2</v>
          </cell>
        </row>
        <row r="58">
          <cell r="A58" t="str">
            <v>Vermont</v>
          </cell>
          <cell r="B58">
            <v>0.15359999999999999</v>
          </cell>
        </row>
        <row r="59">
          <cell r="A59" t="str">
            <v>Virginia</v>
          </cell>
          <cell r="B59">
            <v>0.1052</v>
          </cell>
        </row>
        <row r="60">
          <cell r="A60" t="str">
            <v>Washington</v>
          </cell>
          <cell r="B60">
            <v>7.9699999999999993E-2</v>
          </cell>
        </row>
        <row r="61">
          <cell r="A61" t="str">
            <v>WestVirginia</v>
          </cell>
          <cell r="B61">
            <v>8.6199999999999999E-2</v>
          </cell>
        </row>
        <row r="62">
          <cell r="A62" t="str">
            <v>Wisconsin</v>
          </cell>
          <cell r="B62">
            <v>0.1237</v>
          </cell>
        </row>
        <row r="63">
          <cell r="A63" t="str">
            <v>Wyoming</v>
          </cell>
          <cell r="B63">
            <v>8.6400000000000005E-2</v>
          </cell>
        </row>
        <row r="64">
          <cell r="A64" t="str">
            <v>Yukon</v>
          </cell>
        </row>
      </sheetData>
      <sheetData sheetId="6" refreshError="1"/>
      <sheetData sheetId="7"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EAResult theme">
  <a:themeElements>
    <a:clrScheme name="CLEAResult">
      <a:dk1>
        <a:sysClr val="windowText" lastClr="000000"/>
      </a:dk1>
      <a:lt1>
        <a:sysClr val="window" lastClr="FFFFFF"/>
      </a:lt1>
      <a:dk2>
        <a:srgbClr val="404040"/>
      </a:dk2>
      <a:lt2>
        <a:srgbClr val="EFE9E5"/>
      </a:lt2>
      <a:accent1>
        <a:srgbClr val="F50000"/>
      </a:accent1>
      <a:accent2>
        <a:srgbClr val="054B56"/>
      </a:accent2>
      <a:accent3>
        <a:srgbClr val="007299"/>
      </a:accent3>
      <a:accent4>
        <a:srgbClr val="92B7BC"/>
      </a:accent4>
      <a:accent5>
        <a:srgbClr val="F4CE00"/>
      </a:accent5>
      <a:accent6>
        <a:srgbClr val="EFE9E5"/>
      </a:accent6>
      <a:hlink>
        <a:srgbClr val="44B9E8"/>
      </a:hlink>
      <a:folHlink>
        <a:srgbClr val="44B9E8"/>
      </a:folHlink>
    </a:clrScheme>
    <a:fontScheme name="CLEAResult">
      <a:majorFont>
        <a:latin typeface="Arial"/>
        <a:ea typeface=""/>
        <a:cs typeface=""/>
      </a:majorFont>
      <a:minorFont>
        <a:latin typeface="Arial"/>
        <a:ea typeface=""/>
        <a:cs typeface=""/>
      </a:minorFont>
    </a:fontScheme>
    <a:fmtScheme name="Concourse">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fov="0">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55000"/>
                <a:satMod val="300000"/>
              </a:schemeClr>
            </a:gs>
            <a:gs pos="40000">
              <a:schemeClr val="phClr">
                <a:tint val="65000"/>
                <a:satMod val="300000"/>
              </a:schemeClr>
            </a:gs>
            <a:gs pos="100000">
              <a:schemeClr val="phClr">
                <a:shade val="65000"/>
                <a:satMod val="300000"/>
              </a:schemeClr>
            </a:gs>
          </a:gsLst>
          <a:path path="circle">
            <a:fillToRect l="65000" b="98000"/>
          </a:path>
        </a:gradFill>
        <a:blipFill>
          <a:blip xmlns:r="http://schemas.openxmlformats.org/officeDocument/2006/relationships" r:embed="rId1">
            <a:duotone>
              <a:schemeClr val="phClr">
                <a:shade val="60000"/>
                <a:satMod val="110000"/>
              </a:schemeClr>
              <a:schemeClr val="phClr">
                <a:tint val="95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499984740745262"/>
    <pageSetUpPr fitToPage="1"/>
  </sheetPr>
  <dimension ref="A1:E89"/>
  <sheetViews>
    <sheetView workbookViewId="0"/>
  </sheetViews>
  <sheetFormatPr defaultColWidth="0" defaultRowHeight="14.25" zeroHeight="1" x14ac:dyDescent="0.2"/>
  <cols>
    <col min="1" max="1" width="93.625" style="13" customWidth="1"/>
    <col min="2" max="2" width="31.375" style="1" hidden="1" customWidth="1"/>
    <col min="3" max="3" width="55.875" style="1" hidden="1" customWidth="1"/>
    <col min="4" max="4" width="9.875" style="6" hidden="1" customWidth="1"/>
    <col min="5" max="5" width="57.625" style="1" hidden="1" customWidth="1"/>
    <col min="6" max="16384" width="9" style="1" hidden="1"/>
  </cols>
  <sheetData>
    <row r="1" spans="1:4" ht="27.75" x14ac:dyDescent="0.4">
      <c r="A1" s="12" t="s">
        <v>0</v>
      </c>
      <c r="B1" s="32"/>
      <c r="C1" s="12"/>
    </row>
    <row r="2" spans="1:4" ht="14.25" customHeight="1" x14ac:dyDescent="0.2">
      <c r="A2" s="13" t="s">
        <v>1</v>
      </c>
      <c r="B2" s="33"/>
    </row>
    <row r="3" spans="1:4" ht="15" x14ac:dyDescent="0.25">
      <c r="A3" s="9" t="s">
        <v>2</v>
      </c>
      <c r="B3" s="33"/>
      <c r="D3" s="14"/>
    </row>
    <row r="4" spans="1:4" x14ac:dyDescent="0.2">
      <c r="A4" s="9" t="s">
        <v>3</v>
      </c>
      <c r="B4" s="33"/>
      <c r="D4" s="15"/>
    </row>
    <row r="5" spans="1:4" x14ac:dyDescent="0.2">
      <c r="A5" s="9" t="s">
        <v>4</v>
      </c>
      <c r="B5" s="33"/>
      <c r="D5" s="15"/>
    </row>
    <row r="6" spans="1:4" x14ac:dyDescent="0.2">
      <c r="A6" s="9" t="s">
        <v>5</v>
      </c>
      <c r="B6" s="33"/>
      <c r="D6" s="15"/>
    </row>
    <row r="7" spans="1:4" x14ac:dyDescent="0.2">
      <c r="A7" s="9" t="s">
        <v>6</v>
      </c>
      <c r="B7" s="33"/>
      <c r="D7" s="15"/>
    </row>
    <row r="8" spans="1:4" x14ac:dyDescent="0.2">
      <c r="A8" s="9" t="s">
        <v>7</v>
      </c>
      <c r="B8" s="33"/>
      <c r="D8" s="15"/>
    </row>
    <row r="9" spans="1:4" x14ac:dyDescent="0.2">
      <c r="A9" s="9" t="s">
        <v>8</v>
      </c>
      <c r="B9" s="33"/>
      <c r="D9" s="15"/>
    </row>
    <row r="10" spans="1:4" x14ac:dyDescent="0.2">
      <c r="A10" s="9" t="s">
        <v>1587</v>
      </c>
      <c r="B10" s="33"/>
      <c r="D10" s="15"/>
    </row>
    <row r="11" spans="1:4" x14ac:dyDescent="0.2">
      <c r="A11" s="9" t="s">
        <v>9</v>
      </c>
      <c r="B11" s="33"/>
      <c r="D11" s="15"/>
    </row>
    <row r="12" spans="1:4" x14ac:dyDescent="0.2">
      <c r="A12" s="9" t="s">
        <v>10</v>
      </c>
      <c r="B12" s="33"/>
    </row>
    <row r="13" spans="1:4" x14ac:dyDescent="0.2">
      <c r="A13" s="9"/>
      <c r="B13" s="33"/>
      <c r="D13" s="15"/>
    </row>
    <row r="14" spans="1:4" x14ac:dyDescent="0.2">
      <c r="A14" s="9"/>
      <c r="B14" s="33"/>
    </row>
    <row r="15" spans="1:4" x14ac:dyDescent="0.2">
      <c r="A15" s="9" t="s">
        <v>11</v>
      </c>
      <c r="B15" s="33"/>
      <c r="D15" s="15"/>
    </row>
    <row r="16" spans="1:4" x14ac:dyDescent="0.2">
      <c r="A16" s="9" t="s">
        <v>12</v>
      </c>
      <c r="B16" s="33"/>
      <c r="D16" s="15"/>
    </row>
    <row r="17" spans="1:4" x14ac:dyDescent="0.2">
      <c r="A17" s="9" t="s">
        <v>13</v>
      </c>
      <c r="B17" s="33"/>
      <c r="D17" s="15"/>
    </row>
    <row r="18" spans="1:4" x14ac:dyDescent="0.2">
      <c r="A18" s="9"/>
      <c r="B18" s="33"/>
      <c r="D18" s="15"/>
    </row>
    <row r="19" spans="1:4" x14ac:dyDescent="0.2">
      <c r="A19" s="9"/>
      <c r="B19" s="33"/>
      <c r="D19" s="15"/>
    </row>
    <row r="20" spans="1:4" x14ac:dyDescent="0.2">
      <c r="A20" s="9" t="s">
        <v>14</v>
      </c>
      <c r="B20" s="33"/>
      <c r="D20" s="15"/>
    </row>
    <row r="21" spans="1:4" x14ac:dyDescent="0.2">
      <c r="B21" s="33"/>
      <c r="D21" s="16"/>
    </row>
    <row r="22" spans="1:4" x14ac:dyDescent="0.2">
      <c r="A22" s="9"/>
      <c r="B22" s="33"/>
      <c r="D22" s="15"/>
    </row>
    <row r="23" spans="1:4" x14ac:dyDescent="0.2">
      <c r="A23" s="9"/>
      <c r="B23" s="33"/>
      <c r="D23" s="15"/>
    </row>
    <row r="24" spans="1:4" x14ac:dyDescent="0.2">
      <c r="A24" s="9"/>
      <c r="B24" s="33"/>
      <c r="D24" s="15"/>
    </row>
    <row r="25" spans="1:4" x14ac:dyDescent="0.2">
      <c r="A25" s="9" t="s">
        <v>15</v>
      </c>
      <c r="B25" s="33"/>
    </row>
    <row r="26" spans="1:4" x14ac:dyDescent="0.2">
      <c r="A26" s="9" t="s">
        <v>16</v>
      </c>
      <c r="B26" s="33"/>
    </row>
    <row r="27" spans="1:4" x14ac:dyDescent="0.2">
      <c r="A27" s="9" t="s">
        <v>17</v>
      </c>
      <c r="B27" s="33"/>
      <c r="C27" s="30"/>
    </row>
    <row r="28" spans="1:4" ht="15" x14ac:dyDescent="0.25">
      <c r="A28" s="9" t="s">
        <v>18</v>
      </c>
      <c r="B28" s="33"/>
      <c r="C28" s="31"/>
    </row>
    <row r="29" spans="1:4" x14ac:dyDescent="0.2">
      <c r="A29" s="9"/>
      <c r="B29" s="33"/>
      <c r="C29" s="15"/>
    </row>
    <row r="30" spans="1:4" x14ac:dyDescent="0.2">
      <c r="A30" s="9"/>
      <c r="B30" s="33"/>
      <c r="C30" s="15"/>
    </row>
    <row r="31" spans="1:4" x14ac:dyDescent="0.2">
      <c r="A31" s="9"/>
      <c r="B31" s="33"/>
      <c r="C31" s="15"/>
    </row>
    <row r="32" spans="1:4" x14ac:dyDescent="0.2">
      <c r="A32" s="9"/>
      <c r="B32" s="33"/>
    </row>
    <row r="33" spans="1:3" x14ac:dyDescent="0.2">
      <c r="A33" s="9"/>
      <c r="B33" s="33"/>
    </row>
    <row r="34" spans="1:3" x14ac:dyDescent="0.2">
      <c r="A34" s="9"/>
      <c r="B34" s="33"/>
    </row>
    <row r="35" spans="1:3" x14ac:dyDescent="0.2">
      <c r="A35" s="9"/>
      <c r="B35" s="33"/>
      <c r="C35" s="15"/>
    </row>
    <row r="36" spans="1:3" x14ac:dyDescent="0.2">
      <c r="A36" s="9"/>
      <c r="B36" s="33"/>
      <c r="C36" s="15"/>
    </row>
    <row r="37" spans="1:3" x14ac:dyDescent="0.2">
      <c r="A37" s="9"/>
      <c r="B37" s="33"/>
    </row>
    <row r="38" spans="1:3" x14ac:dyDescent="0.2">
      <c r="A38" s="9"/>
      <c r="B38" s="33"/>
    </row>
    <row r="39" spans="1:3" x14ac:dyDescent="0.2">
      <c r="A39" s="9"/>
      <c r="B39" s="33"/>
    </row>
    <row r="40" spans="1:3" x14ac:dyDescent="0.2">
      <c r="A40" s="9"/>
      <c r="B40" s="33"/>
    </row>
    <row r="41" spans="1:3" x14ac:dyDescent="0.2">
      <c r="A41" s="9"/>
      <c r="B41" s="33"/>
    </row>
    <row r="42" spans="1:3" x14ac:dyDescent="0.2">
      <c r="A42" s="9"/>
      <c r="B42" s="33"/>
    </row>
    <row r="43" spans="1:3" x14ac:dyDescent="0.2">
      <c r="A43" s="9"/>
      <c r="B43" s="33"/>
    </row>
    <row r="44" spans="1:3" x14ac:dyDescent="0.2">
      <c r="A44" s="9"/>
      <c r="B44" s="33"/>
    </row>
    <row r="45" spans="1:3" x14ac:dyDescent="0.2">
      <c r="A45" s="9"/>
      <c r="B45" s="33"/>
    </row>
    <row r="46" spans="1:3" x14ac:dyDescent="0.2">
      <c r="A46" s="9"/>
      <c r="B46" s="33"/>
    </row>
    <row r="47" spans="1:3" x14ac:dyDescent="0.2">
      <c r="A47" s="9"/>
      <c r="B47" s="33"/>
    </row>
    <row r="48" spans="1:3" x14ac:dyDescent="0.2">
      <c r="A48" s="9"/>
      <c r="B48" s="33"/>
    </row>
    <row r="49" spans="1:2" x14ac:dyDescent="0.2">
      <c r="A49" s="9"/>
      <c r="B49" s="33"/>
    </row>
    <row r="50" spans="1:2" x14ac:dyDescent="0.2">
      <c r="A50" s="9"/>
      <c r="B50" s="33"/>
    </row>
    <row r="51" spans="1:2" x14ac:dyDescent="0.2">
      <c r="A51" s="9"/>
      <c r="B51" s="33"/>
    </row>
    <row r="52" spans="1:2" x14ac:dyDescent="0.2">
      <c r="A52" s="9"/>
      <c r="B52" s="33"/>
    </row>
    <row r="53" spans="1:2" x14ac:dyDescent="0.2">
      <c r="A53" s="9"/>
      <c r="B53" s="33"/>
    </row>
    <row r="54" spans="1:2" x14ac:dyDescent="0.2">
      <c r="A54" s="9"/>
      <c r="B54" s="33"/>
    </row>
    <row r="55" spans="1:2" x14ac:dyDescent="0.2">
      <c r="A55" s="9"/>
      <c r="B55" s="33"/>
    </row>
    <row r="56" spans="1:2" x14ac:dyDescent="0.2">
      <c r="A56" s="9"/>
    </row>
    <row r="57" spans="1:2" x14ac:dyDescent="0.2">
      <c r="A57" s="9"/>
    </row>
    <row r="58" spans="1:2" x14ac:dyDescent="0.2">
      <c r="A58" s="9"/>
    </row>
    <row r="59" spans="1:2" x14ac:dyDescent="0.2"/>
    <row r="60" spans="1:2" x14ac:dyDescent="0.2"/>
    <row r="61" spans="1:2" x14ac:dyDescent="0.2"/>
    <row r="62" spans="1:2" x14ac:dyDescent="0.2"/>
    <row r="63" spans="1:2" x14ac:dyDescent="0.2"/>
    <row r="64" spans="1:2"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sheetData>
  <sheetProtection selectLockedCells="1" selectUnlockedCells="1"/>
  <pageMargins left="0.25" right="0.25" top="0.25" bottom="0.25" header="0" footer="0"/>
  <pageSetup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C66"/>
  <sheetViews>
    <sheetView workbookViewId="0"/>
  </sheetViews>
  <sheetFormatPr defaultColWidth="8.875" defaultRowHeight="14.25" x14ac:dyDescent="0.2"/>
  <cols>
    <col min="1" max="1" width="22.875" bestFit="1" customWidth="1"/>
    <col min="2" max="2" width="13.5" bestFit="1" customWidth="1"/>
    <col min="3" max="3" width="9.625" bestFit="1" customWidth="1"/>
  </cols>
  <sheetData>
    <row r="1" spans="1:3" ht="23.25" x14ac:dyDescent="0.35">
      <c r="A1" s="5" t="s">
        <v>413</v>
      </c>
      <c r="B1" s="9"/>
      <c r="C1" s="9"/>
    </row>
    <row r="2" spans="1:3" x14ac:dyDescent="0.2">
      <c r="A2" s="9" t="s">
        <v>414</v>
      </c>
      <c r="B2" s="9"/>
      <c r="C2" s="9"/>
    </row>
    <row r="3" spans="1:3" x14ac:dyDescent="0.2">
      <c r="A3" s="9"/>
      <c r="B3" s="9" t="s">
        <v>29</v>
      </c>
      <c r="C3" s="9" t="s">
        <v>415</v>
      </c>
    </row>
    <row r="4" spans="1:3" x14ac:dyDescent="0.2">
      <c r="A4" s="9"/>
      <c r="B4" s="9" t="s">
        <v>416</v>
      </c>
      <c r="C4" s="9">
        <v>0.106</v>
      </c>
    </row>
    <row r="5" spans="1:3" x14ac:dyDescent="0.2">
      <c r="A5" s="9"/>
      <c r="B5" s="9" t="s">
        <v>417</v>
      </c>
      <c r="C5" s="9">
        <v>0.16600000000000001</v>
      </c>
    </row>
    <row r="6" spans="1:3" x14ac:dyDescent="0.2">
      <c r="A6" s="9"/>
      <c r="B6" s="9" t="s">
        <v>418</v>
      </c>
      <c r="C6" s="9">
        <v>0.10463</v>
      </c>
    </row>
    <row r="7" spans="1:3" x14ac:dyDescent="0.2">
      <c r="A7" s="9"/>
      <c r="B7" s="9" t="s">
        <v>419</v>
      </c>
      <c r="C7" s="9">
        <v>0.1106</v>
      </c>
    </row>
    <row r="8" spans="1:3" x14ac:dyDescent="0.2">
      <c r="A8" s="9"/>
      <c r="B8" s="9" t="s">
        <v>420</v>
      </c>
      <c r="C8" s="9">
        <v>0.09</v>
      </c>
    </row>
    <row r="9" spans="1:3" x14ac:dyDescent="0.2">
      <c r="A9" s="9"/>
      <c r="B9" s="9" t="s">
        <v>421</v>
      </c>
      <c r="C9" s="9">
        <v>8.2709999999999992E-2</v>
      </c>
    </row>
    <row r="10" spans="1:3" x14ac:dyDescent="0.2">
      <c r="A10" s="9"/>
      <c r="B10" s="9" t="s">
        <v>30</v>
      </c>
      <c r="C10" s="9">
        <v>0.153</v>
      </c>
    </row>
    <row r="11" spans="1:3" x14ac:dyDescent="0.2">
      <c r="A11" s="9"/>
      <c r="B11" s="9" t="s">
        <v>422</v>
      </c>
      <c r="C11" s="9">
        <v>0.1123</v>
      </c>
    </row>
    <row r="12" spans="1:3" x14ac:dyDescent="0.2">
      <c r="A12" s="9"/>
      <c r="B12" s="9" t="s">
        <v>423</v>
      </c>
      <c r="C12" s="9">
        <v>0.193</v>
      </c>
    </row>
    <row r="13" spans="1:3" x14ac:dyDescent="0.2">
      <c r="A13" s="9"/>
      <c r="B13" s="9" t="s">
        <v>424</v>
      </c>
      <c r="C13" s="9">
        <v>0.13719999999999999</v>
      </c>
    </row>
    <row r="14" spans="1:3" x14ac:dyDescent="0.2">
      <c r="A14" s="9"/>
      <c r="B14" s="9" t="s">
        <v>425</v>
      </c>
      <c r="C14" s="9">
        <v>0.11310000000000001</v>
      </c>
    </row>
    <row r="15" spans="1:3" x14ac:dyDescent="0.2">
      <c r="A15" s="9"/>
      <c r="B15" s="9" t="s">
        <v>426</v>
      </c>
      <c r="C15" s="9">
        <v>0.10150000000000001</v>
      </c>
    </row>
    <row r="16" spans="1:3" x14ac:dyDescent="0.2">
      <c r="A16" s="9"/>
      <c r="B16" s="9" t="s">
        <v>427</v>
      </c>
      <c r="C16" s="9">
        <v>0.27729999999999999</v>
      </c>
    </row>
    <row r="17" spans="2:3" x14ac:dyDescent="0.2">
      <c r="B17" s="9" t="s">
        <v>313</v>
      </c>
      <c r="C17" s="9">
        <v>8.0399999999999999E-2</v>
      </c>
    </row>
    <row r="18" spans="2:3" x14ac:dyDescent="0.2">
      <c r="B18" s="9" t="s">
        <v>428</v>
      </c>
      <c r="C18" s="9">
        <v>0.1142</v>
      </c>
    </row>
    <row r="19" spans="2:3" x14ac:dyDescent="0.2">
      <c r="B19" s="9" t="s">
        <v>429</v>
      </c>
      <c r="C19" s="9">
        <v>9.0999999999999998E-2</v>
      </c>
    </row>
    <row r="20" spans="2:3" x14ac:dyDescent="0.2">
      <c r="B20" s="9" t="s">
        <v>430</v>
      </c>
      <c r="C20" s="9">
        <v>0.1017</v>
      </c>
    </row>
    <row r="21" spans="2:3" x14ac:dyDescent="0.2">
      <c r="B21" s="9" t="s">
        <v>431</v>
      </c>
      <c r="C21" s="9">
        <v>9.9900000000000003E-2</v>
      </c>
    </row>
    <row r="22" spans="2:3" x14ac:dyDescent="0.2">
      <c r="B22" s="9" t="s">
        <v>432</v>
      </c>
      <c r="C22" s="9">
        <v>8.2900000000000001E-2</v>
      </c>
    </row>
    <row r="23" spans="2:3" x14ac:dyDescent="0.2">
      <c r="B23" s="9" t="s">
        <v>433</v>
      </c>
      <c r="C23" s="9">
        <v>8.9899999999999994E-2</v>
      </c>
    </row>
    <row r="24" spans="2:3" x14ac:dyDescent="0.2">
      <c r="B24" s="9" t="s">
        <v>434</v>
      </c>
      <c r="C24" s="9">
        <v>0.15479999999999999</v>
      </c>
    </row>
    <row r="25" spans="2:3" x14ac:dyDescent="0.2">
      <c r="B25" s="9" t="s">
        <v>435</v>
      </c>
      <c r="C25" s="9">
        <v>7.3050000000000004E-2</v>
      </c>
    </row>
    <row r="26" spans="2:3" x14ac:dyDescent="0.2">
      <c r="B26" s="9" t="s">
        <v>436</v>
      </c>
      <c r="C26" s="9">
        <v>0.14699999999999999</v>
      </c>
    </row>
    <row r="27" spans="2:3" x14ac:dyDescent="0.2">
      <c r="B27" s="9" t="s">
        <v>437</v>
      </c>
      <c r="C27" s="9">
        <v>0.15290000000000001</v>
      </c>
    </row>
    <row r="28" spans="2:3" x14ac:dyDescent="0.2">
      <c r="B28" s="9" t="s">
        <v>438</v>
      </c>
      <c r="C28" s="9">
        <v>0.12479999999999999</v>
      </c>
    </row>
    <row r="29" spans="2:3" x14ac:dyDescent="0.2">
      <c r="B29" s="9" t="s">
        <v>439</v>
      </c>
      <c r="C29" s="9">
        <v>0.1022</v>
      </c>
    </row>
    <row r="30" spans="2:3" x14ac:dyDescent="0.2">
      <c r="B30" s="9" t="s">
        <v>440</v>
      </c>
      <c r="C30" s="9">
        <v>9.8299999999999998E-2</v>
      </c>
    </row>
    <row r="31" spans="2:3" x14ac:dyDescent="0.2">
      <c r="B31" s="9" t="s">
        <v>441</v>
      </c>
      <c r="C31" s="9">
        <v>8.9399999999999993E-2</v>
      </c>
    </row>
    <row r="32" spans="2:3" x14ac:dyDescent="0.2">
      <c r="B32" s="9" t="s">
        <v>314</v>
      </c>
      <c r="C32" s="9">
        <v>8.9899999999999994E-2</v>
      </c>
    </row>
    <row r="33" spans="2:3" x14ac:dyDescent="0.2">
      <c r="B33" s="9" t="s">
        <v>442</v>
      </c>
      <c r="C33" s="9">
        <v>8.8800000000000004E-2</v>
      </c>
    </row>
    <row r="34" spans="2:3" x14ac:dyDescent="0.2">
      <c r="B34" s="9" t="s">
        <v>443</v>
      </c>
      <c r="C34" s="9">
        <v>0.12429999999999999</v>
      </c>
    </row>
    <row r="35" spans="2:3" x14ac:dyDescent="0.2">
      <c r="B35" s="9" t="s">
        <v>444</v>
      </c>
      <c r="C35" s="9">
        <v>0.11843000000000001</v>
      </c>
    </row>
    <row r="36" spans="2:3" x14ac:dyDescent="0.2">
      <c r="B36" s="9" t="s">
        <v>445</v>
      </c>
      <c r="C36" s="9">
        <v>0.10986</v>
      </c>
    </row>
    <row r="37" spans="2:3" x14ac:dyDescent="0.2">
      <c r="B37" s="9" t="s">
        <v>446</v>
      </c>
      <c r="C37" s="9">
        <v>0.16059999999999999</v>
      </c>
    </row>
    <row r="38" spans="2:3" x14ac:dyDescent="0.2">
      <c r="B38" s="9" t="s">
        <v>447</v>
      </c>
      <c r="C38" s="9">
        <v>0.16550000000000001</v>
      </c>
    </row>
    <row r="39" spans="2:3" x14ac:dyDescent="0.2">
      <c r="B39" s="9" t="s">
        <v>448</v>
      </c>
      <c r="C39" s="9">
        <v>0.10730000000000001</v>
      </c>
    </row>
    <row r="40" spans="2:3" x14ac:dyDescent="0.2">
      <c r="B40" s="9" t="s">
        <v>449</v>
      </c>
      <c r="C40" s="9">
        <v>0.18629999999999999</v>
      </c>
    </row>
    <row r="41" spans="2:3" x14ac:dyDescent="0.2">
      <c r="B41" s="9" t="s">
        <v>450</v>
      </c>
      <c r="C41" s="9">
        <v>0.1013</v>
      </c>
    </row>
    <row r="42" spans="2:3" x14ac:dyDescent="0.2">
      <c r="B42" s="9" t="s">
        <v>451</v>
      </c>
      <c r="C42" s="9">
        <v>7.9699999999999993E-2</v>
      </c>
    </row>
    <row r="43" spans="2:3" x14ac:dyDescent="0.2">
      <c r="B43" s="9" t="s">
        <v>452</v>
      </c>
      <c r="C43" s="9">
        <v>0.13622999999999999</v>
      </c>
    </row>
    <row r="44" spans="2:3" x14ac:dyDescent="0.2">
      <c r="B44" s="9" t="s">
        <v>453</v>
      </c>
      <c r="C44" s="9"/>
    </row>
    <row r="45" spans="2:3" x14ac:dyDescent="0.2">
      <c r="B45" s="9" t="s">
        <v>454</v>
      </c>
      <c r="C45" s="9">
        <v>0.1118</v>
      </c>
    </row>
    <row r="46" spans="2:3" x14ac:dyDescent="0.2">
      <c r="B46" s="9" t="s">
        <v>455</v>
      </c>
      <c r="C46" s="9">
        <v>9.06E-2</v>
      </c>
    </row>
    <row r="47" spans="2:3" x14ac:dyDescent="0.2">
      <c r="B47" s="9" t="s">
        <v>456</v>
      </c>
      <c r="C47" s="9">
        <v>0.14305999999999999</v>
      </c>
    </row>
    <row r="48" spans="2:3" x14ac:dyDescent="0.2">
      <c r="B48" s="9" t="s">
        <v>315</v>
      </c>
      <c r="C48" s="9">
        <v>8.7999999999999995E-2</v>
      </c>
    </row>
    <row r="49" spans="2:3" x14ac:dyDescent="0.2">
      <c r="B49" s="9" t="s">
        <v>457</v>
      </c>
      <c r="C49" s="9">
        <v>0.14507</v>
      </c>
    </row>
    <row r="50" spans="2:3" x14ac:dyDescent="0.2">
      <c r="B50" s="9" t="s">
        <v>458</v>
      </c>
      <c r="C50" s="9">
        <v>0.12790000000000001</v>
      </c>
    </row>
    <row r="51" spans="2:3" x14ac:dyDescent="0.2">
      <c r="B51" s="9" t="s">
        <v>459</v>
      </c>
      <c r="C51" s="9"/>
    </row>
    <row r="52" spans="2:3" x14ac:dyDescent="0.2">
      <c r="B52" s="9" t="s">
        <v>460</v>
      </c>
      <c r="C52" s="9">
        <v>6.8209999999999993E-2</v>
      </c>
    </row>
    <row r="53" spans="2:3" x14ac:dyDescent="0.2">
      <c r="B53" s="9" t="s">
        <v>461</v>
      </c>
      <c r="C53" s="9">
        <v>0.15989999999999999</v>
      </c>
    </row>
    <row r="54" spans="2:3" x14ac:dyDescent="0.2">
      <c r="B54" s="9" t="s">
        <v>462</v>
      </c>
      <c r="C54" s="9">
        <v>0.12537000000000001</v>
      </c>
    </row>
    <row r="55" spans="2:3" x14ac:dyDescent="0.2">
      <c r="B55" s="9" t="s">
        <v>463</v>
      </c>
      <c r="C55" s="9">
        <v>0.1021</v>
      </c>
    </row>
    <row r="56" spans="2:3" x14ac:dyDescent="0.2">
      <c r="B56" s="9" t="s">
        <v>464</v>
      </c>
      <c r="C56" s="9">
        <v>8.7800000000000003E-2</v>
      </c>
    </row>
    <row r="57" spans="2:3" x14ac:dyDescent="0.2">
      <c r="B57" s="9" t="s">
        <v>465</v>
      </c>
      <c r="C57" s="9">
        <v>8.9700000000000002E-2</v>
      </c>
    </row>
    <row r="58" spans="2:3" x14ac:dyDescent="0.2">
      <c r="B58" s="9" t="s">
        <v>466</v>
      </c>
      <c r="C58" s="9">
        <v>0.1195</v>
      </c>
    </row>
    <row r="59" spans="2:3" x14ac:dyDescent="0.2">
      <c r="B59" s="9" t="s">
        <v>467</v>
      </c>
      <c r="C59" s="9">
        <v>8.8599999999999998E-2</v>
      </c>
    </row>
    <row r="60" spans="2:3" x14ac:dyDescent="0.2">
      <c r="B60" s="9" t="s">
        <v>468</v>
      </c>
      <c r="C60" s="9">
        <v>0.15359999999999999</v>
      </c>
    </row>
    <row r="61" spans="2:3" x14ac:dyDescent="0.2">
      <c r="B61" s="9" t="s">
        <v>469</v>
      </c>
      <c r="C61" s="9">
        <v>0.1052</v>
      </c>
    </row>
    <row r="62" spans="2:3" x14ac:dyDescent="0.2">
      <c r="B62" s="9" t="s">
        <v>316</v>
      </c>
      <c r="C62" s="9">
        <v>7.9699999999999993E-2</v>
      </c>
    </row>
    <row r="63" spans="2:3" x14ac:dyDescent="0.2">
      <c r="B63" s="9" t="s">
        <v>470</v>
      </c>
      <c r="C63" s="9">
        <v>8.6199999999999999E-2</v>
      </c>
    </row>
    <row r="64" spans="2:3" x14ac:dyDescent="0.2">
      <c r="B64" s="9" t="s">
        <v>471</v>
      </c>
      <c r="C64" s="9">
        <v>0.1237</v>
      </c>
    </row>
    <row r="65" spans="2:3" x14ac:dyDescent="0.2">
      <c r="B65" s="9" t="s">
        <v>472</v>
      </c>
      <c r="C65" s="9">
        <v>8.6400000000000005E-2</v>
      </c>
    </row>
    <row r="66" spans="2:3" x14ac:dyDescent="0.2">
      <c r="B66" s="9" t="s">
        <v>473</v>
      </c>
      <c r="C66" s="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C1099"/>
  <sheetViews>
    <sheetView workbookViewId="0"/>
  </sheetViews>
  <sheetFormatPr defaultColWidth="8.875" defaultRowHeight="14.25" x14ac:dyDescent="0.2"/>
  <cols>
    <col min="1" max="1" width="22.875" style="8" bestFit="1" customWidth="1"/>
    <col min="2" max="2" width="30.5" style="11" bestFit="1" customWidth="1"/>
    <col min="3" max="3" width="9.125" style="11" bestFit="1" customWidth="1"/>
    <col min="5" max="5" width="24.625" bestFit="1" customWidth="1"/>
    <col min="8" max="8" width="20" bestFit="1" customWidth="1"/>
  </cols>
  <sheetData>
    <row r="1" spans="1:3" ht="23.25" x14ac:dyDescent="0.35">
      <c r="A1" s="5" t="s">
        <v>474</v>
      </c>
      <c r="B1" s="4"/>
      <c r="C1" s="4"/>
    </row>
    <row r="2" spans="1:3" s="9" customFormat="1" x14ac:dyDescent="0.2">
      <c r="A2" s="9" t="s">
        <v>475</v>
      </c>
    </row>
    <row r="3" spans="1:3" s="9" customFormat="1" x14ac:dyDescent="0.2">
      <c r="B3" s="9" t="s">
        <v>476</v>
      </c>
      <c r="C3" s="9" t="s">
        <v>475</v>
      </c>
    </row>
    <row r="4" spans="1:3" x14ac:dyDescent="0.2">
      <c r="A4" s="9" t="s">
        <v>416</v>
      </c>
      <c r="B4" s="9" t="s">
        <v>477</v>
      </c>
      <c r="C4" s="9">
        <v>0.37</v>
      </c>
    </row>
    <row r="5" spans="1:3" x14ac:dyDescent="0.2">
      <c r="A5" s="9"/>
      <c r="B5" s="9" t="s">
        <v>478</v>
      </c>
      <c r="C5" s="9">
        <v>0.35</v>
      </c>
    </row>
    <row r="6" spans="1:3" x14ac:dyDescent="0.2">
      <c r="A6" s="9"/>
      <c r="B6" s="9" t="s">
        <v>479</v>
      </c>
      <c r="C6" s="9">
        <v>0.41</v>
      </c>
    </row>
    <row r="7" spans="1:3" x14ac:dyDescent="0.2">
      <c r="A7" s="9"/>
      <c r="B7" s="9" t="s">
        <v>480</v>
      </c>
      <c r="C7" s="9">
        <v>0.36</v>
      </c>
    </row>
    <row r="8" spans="1:3" x14ac:dyDescent="0.2">
      <c r="A8" s="9"/>
      <c r="B8" s="9" t="s">
        <v>481</v>
      </c>
      <c r="C8" s="9">
        <v>0.41</v>
      </c>
    </row>
    <row r="9" spans="1:3" x14ac:dyDescent="0.2">
      <c r="A9" s="9"/>
      <c r="B9" s="9" t="s">
        <v>482</v>
      </c>
      <c r="C9" s="9">
        <v>0.38</v>
      </c>
    </row>
    <row r="10" spans="1:3" x14ac:dyDescent="0.2">
      <c r="A10" s="9"/>
      <c r="B10" s="9" t="s">
        <v>483</v>
      </c>
      <c r="C10" s="9">
        <v>0.45</v>
      </c>
    </row>
    <row r="11" spans="1:3" x14ac:dyDescent="0.2">
      <c r="A11" s="9"/>
      <c r="B11" s="9" t="s">
        <v>484</v>
      </c>
      <c r="C11" s="9">
        <v>0.4</v>
      </c>
    </row>
    <row r="12" spans="1:3" x14ac:dyDescent="0.2">
      <c r="A12" s="9"/>
      <c r="B12" s="9" t="s">
        <v>485</v>
      </c>
      <c r="C12" s="9">
        <v>0.42</v>
      </c>
    </row>
    <row r="13" spans="1:3" x14ac:dyDescent="0.2">
      <c r="A13" s="9"/>
      <c r="B13" s="9" t="s">
        <v>486</v>
      </c>
      <c r="C13" s="9">
        <v>0.42</v>
      </c>
    </row>
    <row r="14" spans="1:3" x14ac:dyDescent="0.2">
      <c r="A14" s="9"/>
      <c r="B14" s="9" t="s">
        <v>487</v>
      </c>
      <c r="C14" s="9">
        <v>0.39</v>
      </c>
    </row>
    <row r="15" spans="1:3" x14ac:dyDescent="0.2">
      <c r="A15" s="9"/>
      <c r="B15" s="9" t="s">
        <v>488</v>
      </c>
      <c r="C15" s="9">
        <v>0.39</v>
      </c>
    </row>
    <row r="16" spans="1:3" x14ac:dyDescent="0.2">
      <c r="A16" s="9"/>
      <c r="B16" s="9" t="s">
        <v>489</v>
      </c>
      <c r="C16" s="9">
        <v>0.34</v>
      </c>
    </row>
    <row r="17" spans="1:3" x14ac:dyDescent="0.2">
      <c r="A17" s="9"/>
      <c r="B17" s="9" t="s">
        <v>490</v>
      </c>
      <c r="C17" s="9">
        <v>0.39</v>
      </c>
    </row>
    <row r="18" spans="1:3" x14ac:dyDescent="0.2">
      <c r="A18" s="9" t="s">
        <v>417</v>
      </c>
      <c r="B18" s="9" t="s">
        <v>491</v>
      </c>
      <c r="C18" s="9">
        <v>0.89</v>
      </c>
    </row>
    <row r="19" spans="1:3" x14ac:dyDescent="0.2">
      <c r="A19" s="9"/>
      <c r="B19" s="9" t="s">
        <v>492</v>
      </c>
      <c r="C19" s="9">
        <v>0.78</v>
      </c>
    </row>
    <row r="20" spans="1:3" x14ac:dyDescent="0.2">
      <c r="A20" s="9"/>
      <c r="B20" s="9" t="s">
        <v>493</v>
      </c>
      <c r="C20" s="9">
        <v>0.93</v>
      </c>
    </row>
    <row r="21" spans="1:3" x14ac:dyDescent="0.2">
      <c r="A21" s="9"/>
      <c r="B21" s="9" t="s">
        <v>494</v>
      </c>
      <c r="C21" s="9">
        <v>0.71</v>
      </c>
    </row>
    <row r="22" spans="1:3" x14ac:dyDescent="0.2">
      <c r="A22" s="9"/>
      <c r="B22" s="9" t="s">
        <v>495</v>
      </c>
      <c r="C22" s="9">
        <v>0.61</v>
      </c>
    </row>
    <row r="23" spans="1:3" x14ac:dyDescent="0.2">
      <c r="A23" s="9"/>
      <c r="B23" s="9" t="s">
        <v>496</v>
      </c>
      <c r="C23" s="9">
        <v>0.66</v>
      </c>
    </row>
    <row r="24" spans="1:3" x14ac:dyDescent="0.2">
      <c r="A24" s="9"/>
      <c r="B24" s="9" t="s">
        <v>497</v>
      </c>
      <c r="C24" s="9">
        <v>0.73</v>
      </c>
    </row>
    <row r="25" spans="1:3" x14ac:dyDescent="0.2">
      <c r="A25" s="9"/>
      <c r="B25" s="9" t="s">
        <v>498</v>
      </c>
      <c r="C25" s="9">
        <v>0.66</v>
      </c>
    </row>
    <row r="26" spans="1:3" x14ac:dyDescent="0.2">
      <c r="A26" s="9"/>
      <c r="B26" s="9" t="s">
        <v>499</v>
      </c>
      <c r="C26" s="9">
        <v>0.71</v>
      </c>
    </row>
    <row r="27" spans="1:3" x14ac:dyDescent="0.2">
      <c r="A27" s="9"/>
      <c r="B27" s="9" t="s">
        <v>500</v>
      </c>
      <c r="C27" s="9">
        <v>1.1399999999999999</v>
      </c>
    </row>
    <row r="28" spans="1:3" x14ac:dyDescent="0.2">
      <c r="A28" s="9"/>
      <c r="B28" s="9" t="s">
        <v>501</v>
      </c>
      <c r="C28" s="9">
        <v>0.89</v>
      </c>
    </row>
    <row r="29" spans="1:3" x14ac:dyDescent="0.2">
      <c r="A29" s="9"/>
      <c r="B29" s="9" t="s">
        <v>502</v>
      </c>
      <c r="C29" s="9">
        <v>0.76</v>
      </c>
    </row>
    <row r="30" spans="1:3" x14ac:dyDescent="0.2">
      <c r="A30" s="9"/>
      <c r="B30" s="9" t="s">
        <v>503</v>
      </c>
      <c r="C30" s="9">
        <v>0.73</v>
      </c>
    </row>
    <row r="31" spans="1:3" x14ac:dyDescent="0.2">
      <c r="A31" s="9"/>
      <c r="B31" s="9" t="s">
        <v>504</v>
      </c>
      <c r="C31" s="9">
        <v>0.7</v>
      </c>
    </row>
    <row r="32" spans="1:3" x14ac:dyDescent="0.2">
      <c r="A32" s="9"/>
      <c r="B32" s="9" t="s">
        <v>505</v>
      </c>
      <c r="C32" s="9">
        <v>0.63</v>
      </c>
    </row>
    <row r="33" spans="1:3" x14ac:dyDescent="0.2">
      <c r="A33" s="9"/>
      <c r="B33" s="9" t="s">
        <v>506</v>
      </c>
      <c r="C33" s="9">
        <v>0.73</v>
      </c>
    </row>
    <row r="34" spans="1:3" x14ac:dyDescent="0.2">
      <c r="A34" s="9"/>
      <c r="B34" s="9" t="s">
        <v>507</v>
      </c>
      <c r="C34" s="9">
        <v>0.99</v>
      </c>
    </row>
    <row r="35" spans="1:3" x14ac:dyDescent="0.2">
      <c r="A35" s="9"/>
      <c r="B35" s="9" t="s">
        <v>508</v>
      </c>
      <c r="C35" s="9">
        <v>0.68</v>
      </c>
    </row>
    <row r="36" spans="1:3" x14ac:dyDescent="0.2">
      <c r="A36" s="9"/>
      <c r="B36" s="9" t="s">
        <v>509</v>
      </c>
      <c r="C36" s="9">
        <v>1.05</v>
      </c>
    </row>
    <row r="37" spans="1:3" x14ac:dyDescent="0.2">
      <c r="A37" s="9"/>
      <c r="B37" s="9" t="s">
        <v>510</v>
      </c>
      <c r="C37" s="9">
        <v>0.76</v>
      </c>
    </row>
    <row r="38" spans="1:3" x14ac:dyDescent="0.2">
      <c r="A38" s="9"/>
      <c r="B38" s="9" t="s">
        <v>511</v>
      </c>
      <c r="C38" s="9">
        <v>0.81</v>
      </c>
    </row>
    <row r="39" spans="1:3" x14ac:dyDescent="0.2">
      <c r="A39" s="9"/>
      <c r="B39" s="9" t="s">
        <v>512</v>
      </c>
      <c r="C39" s="9">
        <v>0.83</v>
      </c>
    </row>
    <row r="40" spans="1:3" x14ac:dyDescent="0.2">
      <c r="A40" s="9"/>
      <c r="B40" s="9" t="s">
        <v>513</v>
      </c>
      <c r="C40" s="9">
        <v>0.7</v>
      </c>
    </row>
    <row r="41" spans="1:3" x14ac:dyDescent="0.2">
      <c r="A41" s="9"/>
      <c r="B41" s="9" t="s">
        <v>514</v>
      </c>
      <c r="C41" s="9">
        <v>0.68</v>
      </c>
    </row>
    <row r="42" spans="1:3" x14ac:dyDescent="0.2">
      <c r="A42" s="9"/>
      <c r="B42" s="9" t="s">
        <v>515</v>
      </c>
      <c r="C42" s="9">
        <v>0.74</v>
      </c>
    </row>
    <row r="43" spans="1:3" x14ac:dyDescent="0.2">
      <c r="A43" s="9"/>
      <c r="B43" s="9" t="s">
        <v>516</v>
      </c>
      <c r="C43" s="9">
        <v>1.1399999999999999</v>
      </c>
    </row>
    <row r="44" spans="1:3" x14ac:dyDescent="0.2">
      <c r="A44" s="9"/>
      <c r="B44" s="9" t="s">
        <v>517</v>
      </c>
      <c r="C44" s="9">
        <v>0.78</v>
      </c>
    </row>
    <row r="45" spans="1:3" x14ac:dyDescent="0.2">
      <c r="A45" s="9"/>
      <c r="B45" s="9" t="s">
        <v>518</v>
      </c>
      <c r="C45" s="9">
        <v>0.67</v>
      </c>
    </row>
    <row r="46" spans="1:3" x14ac:dyDescent="0.2">
      <c r="A46" s="9"/>
      <c r="B46" s="9" t="s">
        <v>519</v>
      </c>
      <c r="C46" s="9">
        <v>0.66</v>
      </c>
    </row>
    <row r="47" spans="1:3" x14ac:dyDescent="0.2">
      <c r="A47" s="9"/>
      <c r="B47" s="9" t="s">
        <v>520</v>
      </c>
      <c r="C47" s="9">
        <v>0.72</v>
      </c>
    </row>
    <row r="48" spans="1:3" x14ac:dyDescent="0.2">
      <c r="A48" s="9"/>
      <c r="B48" s="9" t="s">
        <v>521</v>
      </c>
      <c r="C48" s="9">
        <v>0.73</v>
      </c>
    </row>
    <row r="49" spans="1:3" x14ac:dyDescent="0.2">
      <c r="A49" s="9"/>
      <c r="B49" s="9" t="s">
        <v>522</v>
      </c>
      <c r="C49" s="9">
        <v>0.65</v>
      </c>
    </row>
    <row r="50" spans="1:3" x14ac:dyDescent="0.2">
      <c r="A50" s="9"/>
      <c r="B50" s="9" t="s">
        <v>523</v>
      </c>
      <c r="C50" s="9">
        <v>1</v>
      </c>
    </row>
    <row r="51" spans="1:3" x14ac:dyDescent="0.2">
      <c r="A51" s="9"/>
      <c r="B51" s="9" t="s">
        <v>524</v>
      </c>
      <c r="C51" s="9">
        <v>0.76</v>
      </c>
    </row>
    <row r="52" spans="1:3" x14ac:dyDescent="0.2">
      <c r="A52" s="9"/>
      <c r="B52" s="9" t="s">
        <v>525</v>
      </c>
      <c r="C52" s="9">
        <v>0.71</v>
      </c>
    </row>
    <row r="53" spans="1:3" x14ac:dyDescent="0.2">
      <c r="A53" s="9"/>
      <c r="B53" s="9" t="s">
        <v>526</v>
      </c>
      <c r="C53" s="9">
        <v>0.78</v>
      </c>
    </row>
    <row r="54" spans="1:3" x14ac:dyDescent="0.2">
      <c r="A54" s="9"/>
      <c r="B54" s="9" t="s">
        <v>527</v>
      </c>
      <c r="C54" s="9">
        <v>0.69</v>
      </c>
    </row>
    <row r="55" spans="1:3" x14ac:dyDescent="0.2">
      <c r="A55" s="9"/>
      <c r="B55" s="9" t="s">
        <v>528</v>
      </c>
      <c r="C55" s="9">
        <v>0.66</v>
      </c>
    </row>
    <row r="56" spans="1:3" x14ac:dyDescent="0.2">
      <c r="A56" s="9"/>
      <c r="B56" s="9" t="s">
        <v>529</v>
      </c>
      <c r="C56" s="9">
        <v>0.75</v>
      </c>
    </row>
    <row r="57" spans="1:3" x14ac:dyDescent="0.2">
      <c r="A57" s="9"/>
      <c r="B57" s="9" t="s">
        <v>530</v>
      </c>
      <c r="C57" s="9">
        <v>0.68</v>
      </c>
    </row>
    <row r="58" spans="1:3" x14ac:dyDescent="0.2">
      <c r="A58" s="9"/>
      <c r="B58" s="9" t="s">
        <v>531</v>
      </c>
      <c r="C58" s="9">
        <v>0.82</v>
      </c>
    </row>
    <row r="59" spans="1:3" x14ac:dyDescent="0.2">
      <c r="A59" s="9"/>
      <c r="B59" s="9" t="s">
        <v>532</v>
      </c>
      <c r="C59" s="9">
        <v>0.75</v>
      </c>
    </row>
    <row r="60" spans="1:3" x14ac:dyDescent="0.2">
      <c r="A60" s="9"/>
      <c r="B60" s="9" t="s">
        <v>533</v>
      </c>
      <c r="C60" s="9">
        <v>0.98</v>
      </c>
    </row>
    <row r="61" spans="1:3" x14ac:dyDescent="0.2">
      <c r="A61" s="9"/>
      <c r="B61" s="9" t="s">
        <v>534</v>
      </c>
      <c r="C61" s="9">
        <v>0.66</v>
      </c>
    </row>
    <row r="62" spans="1:3" x14ac:dyDescent="0.2">
      <c r="A62" s="9"/>
      <c r="B62" s="9" t="s">
        <v>535</v>
      </c>
      <c r="C62" s="9">
        <v>0.73</v>
      </c>
    </row>
    <row r="63" spans="1:3" x14ac:dyDescent="0.2">
      <c r="A63" s="9"/>
      <c r="B63" s="9" t="s">
        <v>536</v>
      </c>
      <c r="C63" s="9">
        <v>0.99</v>
      </c>
    </row>
    <row r="64" spans="1:3" x14ac:dyDescent="0.2">
      <c r="A64" s="9"/>
      <c r="B64" s="9" t="s">
        <v>537</v>
      </c>
      <c r="C64" s="9">
        <v>0.8</v>
      </c>
    </row>
    <row r="65" spans="1:3" x14ac:dyDescent="0.2">
      <c r="A65" s="9"/>
      <c r="B65" s="9" t="s">
        <v>538</v>
      </c>
      <c r="C65" s="9">
        <v>0.65</v>
      </c>
    </row>
    <row r="66" spans="1:3" x14ac:dyDescent="0.2">
      <c r="A66" s="9"/>
      <c r="B66" s="9" t="s">
        <v>539</v>
      </c>
      <c r="C66" s="9">
        <v>0.7</v>
      </c>
    </row>
    <row r="67" spans="1:3" x14ac:dyDescent="0.2">
      <c r="A67" s="9"/>
      <c r="B67" s="9" t="s">
        <v>540</v>
      </c>
      <c r="C67" s="9">
        <v>0.88</v>
      </c>
    </row>
    <row r="68" spans="1:3" x14ac:dyDescent="0.2">
      <c r="A68" s="9"/>
      <c r="B68" s="9" t="s">
        <v>541</v>
      </c>
      <c r="C68" s="9">
        <v>0.73</v>
      </c>
    </row>
    <row r="69" spans="1:3" x14ac:dyDescent="0.2">
      <c r="A69" s="9"/>
      <c r="B69" s="9" t="s">
        <v>542</v>
      </c>
      <c r="C69" s="9">
        <v>0.67</v>
      </c>
    </row>
    <row r="70" spans="1:3" x14ac:dyDescent="0.2">
      <c r="A70" s="9"/>
      <c r="B70" s="9" t="s">
        <v>543</v>
      </c>
      <c r="C70" s="9">
        <v>0.64</v>
      </c>
    </row>
    <row r="71" spans="1:3" x14ac:dyDescent="0.2">
      <c r="A71" s="9"/>
      <c r="B71" s="9" t="s">
        <v>544</v>
      </c>
      <c r="C71" s="9">
        <v>1.1100000000000001</v>
      </c>
    </row>
    <row r="72" spans="1:3" x14ac:dyDescent="0.2">
      <c r="A72" s="9"/>
      <c r="B72" s="9" t="s">
        <v>545</v>
      </c>
      <c r="C72" s="9">
        <v>0.9</v>
      </c>
    </row>
    <row r="73" spans="1:3" x14ac:dyDescent="0.2">
      <c r="A73" s="9"/>
      <c r="B73" s="9" t="s">
        <v>546</v>
      </c>
      <c r="C73" s="9">
        <v>0.89</v>
      </c>
    </row>
    <row r="74" spans="1:3" x14ac:dyDescent="0.2">
      <c r="A74" s="9"/>
      <c r="B74" s="9" t="s">
        <v>547</v>
      </c>
      <c r="C74" s="9">
        <v>0.8</v>
      </c>
    </row>
    <row r="75" spans="1:3" x14ac:dyDescent="0.2">
      <c r="A75" s="9"/>
      <c r="B75" s="9" t="s">
        <v>548</v>
      </c>
      <c r="C75" s="9">
        <v>0.98</v>
      </c>
    </row>
    <row r="76" spans="1:3" x14ac:dyDescent="0.2">
      <c r="A76" s="9"/>
      <c r="B76" s="9" t="s">
        <v>549</v>
      </c>
      <c r="C76" s="9">
        <v>0.88</v>
      </c>
    </row>
    <row r="77" spans="1:3" x14ac:dyDescent="0.2">
      <c r="A77" s="9"/>
      <c r="B77" s="9" t="s">
        <v>550</v>
      </c>
      <c r="C77" s="9">
        <v>0.75</v>
      </c>
    </row>
    <row r="78" spans="1:3" x14ac:dyDescent="0.2">
      <c r="A78" s="9"/>
      <c r="B78" s="9" t="s">
        <v>551</v>
      </c>
      <c r="C78" s="9">
        <v>1.02</v>
      </c>
    </row>
    <row r="79" spans="1:3" x14ac:dyDescent="0.2">
      <c r="A79" s="9"/>
      <c r="B79" s="9" t="s">
        <v>552</v>
      </c>
      <c r="C79" s="9">
        <v>1.01</v>
      </c>
    </row>
    <row r="80" spans="1:3" x14ac:dyDescent="0.2">
      <c r="A80" s="9"/>
      <c r="B80" s="9" t="s">
        <v>553</v>
      </c>
      <c r="C80" s="9">
        <v>0.68</v>
      </c>
    </row>
    <row r="81" spans="1:3" x14ac:dyDescent="0.2">
      <c r="A81" s="9"/>
      <c r="B81" s="9" t="s">
        <v>554</v>
      </c>
      <c r="C81" s="9">
        <v>0.76</v>
      </c>
    </row>
    <row r="82" spans="1:3" x14ac:dyDescent="0.2">
      <c r="A82" s="9"/>
      <c r="B82" s="9" t="s">
        <v>555</v>
      </c>
      <c r="C82" s="9">
        <v>0.66</v>
      </c>
    </row>
    <row r="83" spans="1:3" x14ac:dyDescent="0.2">
      <c r="A83" s="9"/>
      <c r="B83" s="9" t="s">
        <v>556</v>
      </c>
      <c r="C83" s="9">
        <v>0.67</v>
      </c>
    </row>
    <row r="84" spans="1:3" x14ac:dyDescent="0.2">
      <c r="A84" s="9"/>
      <c r="B84" s="9" t="s">
        <v>557</v>
      </c>
      <c r="C84" s="9">
        <v>0.98</v>
      </c>
    </row>
    <row r="85" spans="1:3" x14ac:dyDescent="0.2">
      <c r="A85" s="9"/>
      <c r="B85" s="9" t="s">
        <v>558</v>
      </c>
      <c r="C85" s="9">
        <v>0.68</v>
      </c>
    </row>
    <row r="86" spans="1:3" x14ac:dyDescent="0.2">
      <c r="A86" s="9"/>
      <c r="B86" s="9" t="s">
        <v>559</v>
      </c>
      <c r="C86" s="9">
        <v>0.75</v>
      </c>
    </row>
    <row r="87" spans="1:3" x14ac:dyDescent="0.2">
      <c r="A87" s="9"/>
      <c r="B87" s="9" t="s">
        <v>560</v>
      </c>
      <c r="C87" s="9">
        <v>0.82</v>
      </c>
    </row>
    <row r="88" spans="1:3" x14ac:dyDescent="0.2">
      <c r="A88" s="9"/>
      <c r="B88" s="9" t="s">
        <v>561</v>
      </c>
      <c r="C88" s="9">
        <v>0.91</v>
      </c>
    </row>
    <row r="89" spans="1:3" x14ac:dyDescent="0.2">
      <c r="A89" s="9"/>
      <c r="B89" s="9" t="s">
        <v>562</v>
      </c>
      <c r="C89" s="9">
        <v>0.67</v>
      </c>
    </row>
    <row r="90" spans="1:3" x14ac:dyDescent="0.2">
      <c r="A90" s="9"/>
      <c r="B90" s="9" t="s">
        <v>563</v>
      </c>
      <c r="C90" s="9">
        <v>0.7</v>
      </c>
    </row>
    <row r="91" spans="1:3" x14ac:dyDescent="0.2">
      <c r="A91" s="9"/>
      <c r="B91" s="9" t="s">
        <v>564</v>
      </c>
      <c r="C91" s="9">
        <v>0.75</v>
      </c>
    </row>
    <row r="92" spans="1:3" x14ac:dyDescent="0.2">
      <c r="A92" s="9"/>
      <c r="B92" s="9" t="s">
        <v>565</v>
      </c>
      <c r="C92" s="9">
        <v>0.63</v>
      </c>
    </row>
    <row r="93" spans="1:3" x14ac:dyDescent="0.2">
      <c r="A93" s="9"/>
      <c r="B93" s="9" t="s">
        <v>566</v>
      </c>
      <c r="C93" s="9">
        <v>0.69</v>
      </c>
    </row>
    <row r="94" spans="1:3" x14ac:dyDescent="0.2">
      <c r="A94" s="9" t="s">
        <v>567</v>
      </c>
      <c r="B94" s="9" t="s">
        <v>568</v>
      </c>
      <c r="C94" s="9">
        <v>0.45</v>
      </c>
    </row>
    <row r="95" spans="1:3" x14ac:dyDescent="0.2">
      <c r="A95" s="9"/>
      <c r="B95" s="9" t="s">
        <v>569</v>
      </c>
      <c r="C95" s="9">
        <v>0.45</v>
      </c>
    </row>
    <row r="96" spans="1:3" x14ac:dyDescent="0.2">
      <c r="A96" s="9"/>
      <c r="B96" s="9" t="s">
        <v>570</v>
      </c>
      <c r="C96" s="9">
        <v>0.45</v>
      </c>
    </row>
    <row r="97" spans="1:3" x14ac:dyDescent="0.2">
      <c r="A97" s="9"/>
      <c r="B97" s="9" t="s">
        <v>571</v>
      </c>
      <c r="C97" s="9">
        <v>0.48</v>
      </c>
    </row>
    <row r="98" spans="1:3" x14ac:dyDescent="0.2">
      <c r="A98" s="9"/>
      <c r="B98" s="9" t="s">
        <v>572</v>
      </c>
      <c r="C98" s="9">
        <v>0.59</v>
      </c>
    </row>
    <row r="99" spans="1:3" x14ac:dyDescent="0.2">
      <c r="A99" s="9"/>
      <c r="B99" s="9" t="s">
        <v>573</v>
      </c>
      <c r="C99" s="9">
        <v>0.61</v>
      </c>
    </row>
    <row r="100" spans="1:3" x14ac:dyDescent="0.2">
      <c r="A100" s="9"/>
      <c r="B100" s="9" t="s">
        <v>574</v>
      </c>
      <c r="C100" s="9">
        <v>0.56999999999999995</v>
      </c>
    </row>
    <row r="101" spans="1:3" x14ac:dyDescent="0.2">
      <c r="A101" s="9"/>
      <c r="B101" s="9" t="s">
        <v>575</v>
      </c>
      <c r="C101" s="9">
        <v>0.47</v>
      </c>
    </row>
    <row r="102" spans="1:3" x14ac:dyDescent="0.2">
      <c r="A102" s="9"/>
      <c r="B102" s="9" t="s">
        <v>576</v>
      </c>
      <c r="C102" s="9">
        <v>0.45</v>
      </c>
    </row>
    <row r="103" spans="1:3" x14ac:dyDescent="0.2">
      <c r="A103" s="9"/>
      <c r="B103" s="9" t="s">
        <v>577</v>
      </c>
      <c r="C103" s="9">
        <v>0.43</v>
      </c>
    </row>
    <row r="104" spans="1:3" x14ac:dyDescent="0.2">
      <c r="A104" s="9"/>
      <c r="B104" s="9" t="s">
        <v>578</v>
      </c>
      <c r="C104" s="9">
        <v>0.51</v>
      </c>
    </row>
    <row r="105" spans="1:3" x14ac:dyDescent="0.2">
      <c r="A105" s="9"/>
      <c r="B105" s="9" t="s">
        <v>579</v>
      </c>
      <c r="C105" s="9">
        <v>0.41</v>
      </c>
    </row>
    <row r="106" spans="1:3" x14ac:dyDescent="0.2">
      <c r="A106" s="9"/>
      <c r="B106" s="9" t="s">
        <v>580</v>
      </c>
      <c r="C106" s="9">
        <v>0.59</v>
      </c>
    </row>
    <row r="107" spans="1:3" x14ac:dyDescent="0.2">
      <c r="A107" s="9"/>
      <c r="B107" s="9" t="s">
        <v>581</v>
      </c>
      <c r="C107" s="9">
        <v>0.48</v>
      </c>
    </row>
    <row r="108" spans="1:3" x14ac:dyDescent="0.2">
      <c r="A108" s="9"/>
      <c r="B108" s="9" t="s">
        <v>582</v>
      </c>
      <c r="C108" s="9">
        <v>0.48</v>
      </c>
    </row>
    <row r="109" spans="1:3" x14ac:dyDescent="0.2">
      <c r="A109" s="9"/>
      <c r="B109" s="9" t="s">
        <v>583</v>
      </c>
      <c r="C109" s="9">
        <v>0.55000000000000004</v>
      </c>
    </row>
    <row r="110" spans="1:3" x14ac:dyDescent="0.2">
      <c r="A110" s="9"/>
      <c r="B110" s="9" t="s">
        <v>584</v>
      </c>
      <c r="C110" s="9">
        <v>0.43</v>
      </c>
    </row>
    <row r="111" spans="1:3" x14ac:dyDescent="0.2">
      <c r="A111" s="9"/>
      <c r="B111" s="9" t="s">
        <v>585</v>
      </c>
      <c r="C111" s="9">
        <v>0.44</v>
      </c>
    </row>
    <row r="112" spans="1:3" x14ac:dyDescent="0.2">
      <c r="A112" s="9" t="s">
        <v>420</v>
      </c>
      <c r="B112" s="9" t="s">
        <v>586</v>
      </c>
      <c r="C112" s="9">
        <v>0.41</v>
      </c>
    </row>
    <row r="113" spans="1:3" x14ac:dyDescent="0.2">
      <c r="A113" s="9"/>
      <c r="B113" s="9" t="s">
        <v>587</v>
      </c>
      <c r="C113" s="9">
        <v>0.46</v>
      </c>
    </row>
    <row r="114" spans="1:3" x14ac:dyDescent="0.2">
      <c r="A114" s="9"/>
      <c r="B114" s="9" t="s">
        <v>588</v>
      </c>
      <c r="C114" s="9">
        <v>0.41</v>
      </c>
    </row>
    <row r="115" spans="1:3" x14ac:dyDescent="0.2">
      <c r="A115" s="9"/>
      <c r="B115" s="9" t="s">
        <v>589</v>
      </c>
      <c r="C115" s="9">
        <v>0.44</v>
      </c>
    </row>
    <row r="116" spans="1:3" x14ac:dyDescent="0.2">
      <c r="A116" s="9"/>
      <c r="B116" s="9" t="s">
        <v>590</v>
      </c>
      <c r="C116" s="9">
        <v>0.39</v>
      </c>
    </row>
    <row r="117" spans="1:3" x14ac:dyDescent="0.2">
      <c r="A117" s="9"/>
      <c r="B117" s="9" t="s">
        <v>591</v>
      </c>
      <c r="C117" s="9">
        <v>0.45</v>
      </c>
    </row>
    <row r="118" spans="1:3" x14ac:dyDescent="0.2">
      <c r="A118" s="9"/>
      <c r="B118" s="9" t="s">
        <v>592</v>
      </c>
      <c r="C118" s="9">
        <v>0.46</v>
      </c>
    </row>
    <row r="119" spans="1:3" x14ac:dyDescent="0.2">
      <c r="A119" s="9"/>
      <c r="B119" s="9" t="s">
        <v>593</v>
      </c>
      <c r="C119" s="9">
        <v>0.47</v>
      </c>
    </row>
    <row r="120" spans="1:3" x14ac:dyDescent="0.2">
      <c r="A120" s="9"/>
      <c r="B120" s="9" t="s">
        <v>594</v>
      </c>
      <c r="C120" s="9">
        <v>0.44</v>
      </c>
    </row>
    <row r="121" spans="1:3" x14ac:dyDescent="0.2">
      <c r="A121" s="9"/>
      <c r="B121" s="9" t="s">
        <v>595</v>
      </c>
      <c r="C121" s="9">
        <v>0.4</v>
      </c>
    </row>
    <row r="122" spans="1:3" x14ac:dyDescent="0.2">
      <c r="A122" s="9"/>
      <c r="B122" s="9" t="s">
        <v>596</v>
      </c>
      <c r="C122" s="9">
        <v>0.42</v>
      </c>
    </row>
    <row r="123" spans="1:3" x14ac:dyDescent="0.2">
      <c r="A123" s="9"/>
      <c r="B123" s="9" t="s">
        <v>597</v>
      </c>
      <c r="C123" s="9">
        <v>0.44</v>
      </c>
    </row>
    <row r="124" spans="1:3" x14ac:dyDescent="0.2">
      <c r="A124" s="9"/>
      <c r="B124" s="9" t="s">
        <v>598</v>
      </c>
      <c r="C124" s="9">
        <v>0.48</v>
      </c>
    </row>
    <row r="125" spans="1:3" x14ac:dyDescent="0.2">
      <c r="A125" s="9"/>
      <c r="B125" s="9" t="s">
        <v>599</v>
      </c>
      <c r="C125" s="9">
        <v>0.48</v>
      </c>
    </row>
    <row r="126" spans="1:3" x14ac:dyDescent="0.2">
      <c r="A126" s="9"/>
      <c r="B126" s="9" t="s">
        <v>600</v>
      </c>
      <c r="C126" s="9">
        <v>0.49</v>
      </c>
    </row>
    <row r="127" spans="1:3" x14ac:dyDescent="0.2">
      <c r="A127" s="9"/>
      <c r="B127" s="9" t="s">
        <v>601</v>
      </c>
      <c r="C127" s="9">
        <v>0.45</v>
      </c>
    </row>
    <row r="128" spans="1:3" x14ac:dyDescent="0.2">
      <c r="A128" s="9"/>
      <c r="B128" s="9" t="s">
        <v>602</v>
      </c>
      <c r="C128" s="9">
        <v>0.42</v>
      </c>
    </row>
    <row r="129" spans="1:3" x14ac:dyDescent="0.2">
      <c r="A129" s="9"/>
      <c r="B129" s="9" t="s">
        <v>603</v>
      </c>
      <c r="C129" s="9">
        <v>0.45</v>
      </c>
    </row>
    <row r="130" spans="1:3" x14ac:dyDescent="0.2">
      <c r="A130" s="9" t="s">
        <v>30</v>
      </c>
      <c r="B130" s="9" t="s">
        <v>317</v>
      </c>
      <c r="C130" s="9">
        <v>0.59</v>
      </c>
    </row>
    <row r="131" spans="1:3" x14ac:dyDescent="0.2">
      <c r="A131" s="9"/>
      <c r="B131" s="9" t="s">
        <v>318</v>
      </c>
      <c r="C131" s="9">
        <v>0.56000000000000005</v>
      </c>
    </row>
    <row r="132" spans="1:3" x14ac:dyDescent="0.2">
      <c r="A132" s="9"/>
      <c r="B132" s="9" t="s">
        <v>319</v>
      </c>
      <c r="C132" s="9">
        <v>0.43</v>
      </c>
    </row>
    <row r="133" spans="1:3" x14ac:dyDescent="0.2">
      <c r="A133" s="9"/>
      <c r="B133" s="9" t="s">
        <v>320</v>
      </c>
      <c r="C133" s="9">
        <v>0.45</v>
      </c>
    </row>
    <row r="134" spans="1:3" x14ac:dyDescent="0.2">
      <c r="A134" s="9"/>
      <c r="B134" s="9" t="s">
        <v>321</v>
      </c>
      <c r="C134" s="9">
        <v>0.55000000000000004</v>
      </c>
    </row>
    <row r="135" spans="1:3" x14ac:dyDescent="0.2">
      <c r="A135" s="9"/>
      <c r="B135" s="9" t="s">
        <v>322</v>
      </c>
      <c r="C135" s="9">
        <v>0.44</v>
      </c>
    </row>
    <row r="136" spans="1:3" x14ac:dyDescent="0.2">
      <c r="A136" s="9"/>
      <c r="B136" s="9" t="s">
        <v>323</v>
      </c>
      <c r="C136" s="9">
        <v>0.48</v>
      </c>
    </row>
    <row r="137" spans="1:3" x14ac:dyDescent="0.2">
      <c r="A137" s="9"/>
      <c r="B137" s="9" t="s">
        <v>604</v>
      </c>
      <c r="C137" s="9">
        <v>0.39</v>
      </c>
    </row>
    <row r="138" spans="1:3" x14ac:dyDescent="0.2">
      <c r="A138" s="9"/>
      <c r="B138" s="9" t="s">
        <v>325</v>
      </c>
      <c r="C138" s="9">
        <v>0.43</v>
      </c>
    </row>
    <row r="139" spans="1:3" x14ac:dyDescent="0.2">
      <c r="A139" s="9"/>
      <c r="B139" s="9" t="s">
        <v>326</v>
      </c>
      <c r="C139" s="9">
        <v>0.4</v>
      </c>
    </row>
    <row r="140" spans="1:3" x14ac:dyDescent="0.2">
      <c r="A140" s="9"/>
      <c r="B140" s="9" t="s">
        <v>327</v>
      </c>
      <c r="C140" s="9">
        <v>0.38</v>
      </c>
    </row>
    <row r="141" spans="1:3" x14ac:dyDescent="0.2">
      <c r="A141" s="9"/>
      <c r="B141" s="9" t="s">
        <v>328</v>
      </c>
      <c r="C141" s="9">
        <v>0.52</v>
      </c>
    </row>
    <row r="142" spans="1:3" x14ac:dyDescent="0.2">
      <c r="A142" s="9"/>
      <c r="B142" s="9" t="s">
        <v>329</v>
      </c>
      <c r="C142" s="9">
        <v>0.45</v>
      </c>
    </row>
    <row r="143" spans="1:3" x14ac:dyDescent="0.2">
      <c r="A143" s="9"/>
      <c r="B143" s="9" t="s">
        <v>330</v>
      </c>
      <c r="C143" s="9">
        <v>0.4</v>
      </c>
    </row>
    <row r="144" spans="1:3" x14ac:dyDescent="0.2">
      <c r="A144" s="9"/>
      <c r="B144" s="9" t="s">
        <v>331</v>
      </c>
      <c r="C144" s="9">
        <v>0.53</v>
      </c>
    </row>
    <row r="145" spans="1:3" x14ac:dyDescent="0.2">
      <c r="A145" s="9"/>
      <c r="B145" s="9" t="s">
        <v>332</v>
      </c>
      <c r="C145" s="9">
        <v>0.6</v>
      </c>
    </row>
    <row r="146" spans="1:3" x14ac:dyDescent="0.2">
      <c r="A146" s="9"/>
      <c r="B146" s="9" t="s">
        <v>333</v>
      </c>
      <c r="C146" s="9">
        <v>0.57999999999999996</v>
      </c>
    </row>
    <row r="147" spans="1:3" x14ac:dyDescent="0.2">
      <c r="A147" s="9"/>
      <c r="B147" s="9" t="s">
        <v>334</v>
      </c>
      <c r="C147" s="9">
        <v>0.59</v>
      </c>
    </row>
    <row r="148" spans="1:3" x14ac:dyDescent="0.2">
      <c r="A148" s="9"/>
      <c r="B148" s="9" t="s">
        <v>335</v>
      </c>
      <c r="C148" s="9">
        <v>0.45</v>
      </c>
    </row>
    <row r="149" spans="1:3" x14ac:dyDescent="0.2">
      <c r="A149" s="9"/>
      <c r="B149" s="9" t="s">
        <v>336</v>
      </c>
      <c r="C149" s="9">
        <v>0.34</v>
      </c>
    </row>
    <row r="150" spans="1:3" x14ac:dyDescent="0.2">
      <c r="A150" s="9"/>
      <c r="B150" s="9" t="s">
        <v>337</v>
      </c>
      <c r="C150" s="9">
        <v>0.47</v>
      </c>
    </row>
    <row r="151" spans="1:3" x14ac:dyDescent="0.2">
      <c r="A151" s="9"/>
      <c r="B151" s="9" t="s">
        <v>338</v>
      </c>
      <c r="C151" s="9">
        <v>0.46</v>
      </c>
    </row>
    <row r="152" spans="1:3" x14ac:dyDescent="0.2">
      <c r="A152" s="9"/>
      <c r="B152" s="9" t="s">
        <v>339</v>
      </c>
      <c r="C152" s="9">
        <v>0.38</v>
      </c>
    </row>
    <row r="153" spans="1:3" x14ac:dyDescent="0.2">
      <c r="A153" s="9"/>
      <c r="B153" s="9" t="s">
        <v>340</v>
      </c>
      <c r="C153" s="9">
        <v>0.62</v>
      </c>
    </row>
    <row r="154" spans="1:3" x14ac:dyDescent="0.2">
      <c r="A154" s="9"/>
      <c r="B154" s="9" t="s">
        <v>341</v>
      </c>
      <c r="C154" s="9">
        <v>0.5</v>
      </c>
    </row>
    <row r="155" spans="1:3" x14ac:dyDescent="0.2">
      <c r="A155" s="9"/>
      <c r="B155" s="9" t="s">
        <v>342</v>
      </c>
      <c r="C155" s="9">
        <v>0.53</v>
      </c>
    </row>
    <row r="156" spans="1:3" x14ac:dyDescent="0.2">
      <c r="A156" s="9"/>
      <c r="B156" s="9" t="s">
        <v>343</v>
      </c>
      <c r="C156" s="9">
        <v>0.55000000000000004</v>
      </c>
    </row>
    <row r="157" spans="1:3" x14ac:dyDescent="0.2">
      <c r="A157" s="9"/>
      <c r="B157" s="9" t="s">
        <v>344</v>
      </c>
      <c r="C157" s="9">
        <v>0.38</v>
      </c>
    </row>
    <row r="158" spans="1:3" x14ac:dyDescent="0.2">
      <c r="A158" s="9"/>
      <c r="B158" s="9" t="s">
        <v>345</v>
      </c>
      <c r="C158" s="9">
        <v>0.42</v>
      </c>
    </row>
    <row r="159" spans="1:3" x14ac:dyDescent="0.2">
      <c r="A159" s="9"/>
      <c r="B159" s="9" t="s">
        <v>346</v>
      </c>
      <c r="C159" s="9">
        <v>0.43</v>
      </c>
    </row>
    <row r="160" spans="1:3" x14ac:dyDescent="0.2">
      <c r="A160" s="9"/>
      <c r="B160" s="9" t="s">
        <v>347</v>
      </c>
      <c r="C160" s="9">
        <v>0.46</v>
      </c>
    </row>
    <row r="161" spans="1:3" x14ac:dyDescent="0.2">
      <c r="A161" s="9"/>
      <c r="B161" s="9" t="s">
        <v>348</v>
      </c>
      <c r="C161" s="9">
        <v>0.47</v>
      </c>
    </row>
    <row r="162" spans="1:3" x14ac:dyDescent="0.2">
      <c r="A162" s="9"/>
      <c r="B162" s="9" t="s">
        <v>349</v>
      </c>
      <c r="C162" s="9">
        <v>0.55000000000000004</v>
      </c>
    </row>
    <row r="163" spans="1:3" x14ac:dyDescent="0.2">
      <c r="A163" s="9"/>
      <c r="B163" s="9" t="s">
        <v>350</v>
      </c>
      <c r="C163" s="9">
        <v>0.49</v>
      </c>
    </row>
    <row r="164" spans="1:3" x14ac:dyDescent="0.2">
      <c r="A164" s="9"/>
      <c r="B164" s="9" t="s">
        <v>351</v>
      </c>
      <c r="C164" s="9">
        <v>0.45</v>
      </c>
    </row>
    <row r="165" spans="1:3" x14ac:dyDescent="0.2">
      <c r="A165" s="9"/>
      <c r="B165" s="9" t="s">
        <v>352</v>
      </c>
      <c r="C165" s="9">
        <v>0.55000000000000004</v>
      </c>
    </row>
    <row r="166" spans="1:3" x14ac:dyDescent="0.2">
      <c r="A166" s="9"/>
      <c r="B166" s="9" t="s">
        <v>353</v>
      </c>
      <c r="C166" s="9">
        <v>0.51</v>
      </c>
    </row>
    <row r="167" spans="1:3" x14ac:dyDescent="0.2">
      <c r="A167" s="9"/>
      <c r="B167" s="9" t="s">
        <v>354</v>
      </c>
      <c r="C167" s="9">
        <v>0.54</v>
      </c>
    </row>
    <row r="168" spans="1:3" x14ac:dyDescent="0.2">
      <c r="A168" s="9"/>
      <c r="B168" s="9" t="s">
        <v>355</v>
      </c>
      <c r="C168" s="9">
        <v>0.45</v>
      </c>
    </row>
    <row r="169" spans="1:3" x14ac:dyDescent="0.2">
      <c r="A169" s="9"/>
      <c r="B169" s="9" t="s">
        <v>356</v>
      </c>
      <c r="C169" s="9">
        <v>0.45</v>
      </c>
    </row>
    <row r="170" spans="1:3" x14ac:dyDescent="0.2">
      <c r="A170" s="9"/>
      <c r="B170" s="9" t="s">
        <v>357</v>
      </c>
      <c r="C170" s="9">
        <v>0.46</v>
      </c>
    </row>
    <row r="171" spans="1:3" x14ac:dyDescent="0.2">
      <c r="A171" s="9"/>
      <c r="B171" s="9" t="s">
        <v>358</v>
      </c>
      <c r="C171" s="9">
        <v>0.56999999999999995</v>
      </c>
    </row>
    <row r="172" spans="1:3" x14ac:dyDescent="0.2">
      <c r="A172" s="9"/>
      <c r="B172" s="9" t="s">
        <v>359</v>
      </c>
      <c r="C172" s="9">
        <v>0.53</v>
      </c>
    </row>
    <row r="173" spans="1:3" x14ac:dyDescent="0.2">
      <c r="A173" s="9"/>
      <c r="B173" s="9" t="s">
        <v>360</v>
      </c>
      <c r="C173" s="9">
        <v>0.45</v>
      </c>
    </row>
    <row r="174" spans="1:3" x14ac:dyDescent="0.2">
      <c r="A174" s="9"/>
      <c r="B174" s="9" t="s">
        <v>361</v>
      </c>
      <c r="C174" s="9">
        <v>0.42</v>
      </c>
    </row>
    <row r="175" spans="1:3" x14ac:dyDescent="0.2">
      <c r="A175" s="9"/>
      <c r="B175" s="9" t="s">
        <v>362</v>
      </c>
      <c r="C175" s="9">
        <v>0.5</v>
      </c>
    </row>
    <row r="176" spans="1:3" x14ac:dyDescent="0.2">
      <c r="A176" s="9"/>
      <c r="B176" s="9" t="s">
        <v>363</v>
      </c>
      <c r="C176" s="9">
        <v>0.47</v>
      </c>
    </row>
    <row r="177" spans="1:3" x14ac:dyDescent="0.2">
      <c r="A177" s="9"/>
      <c r="B177" s="9" t="s">
        <v>364</v>
      </c>
      <c r="C177" s="9">
        <v>0.42</v>
      </c>
    </row>
    <row r="178" spans="1:3" x14ac:dyDescent="0.2">
      <c r="A178" s="9"/>
      <c r="B178" s="9" t="s">
        <v>365</v>
      </c>
      <c r="C178" s="9">
        <v>0.51</v>
      </c>
    </row>
    <row r="179" spans="1:3" x14ac:dyDescent="0.2">
      <c r="A179" s="9"/>
      <c r="B179" s="9" t="s">
        <v>366</v>
      </c>
      <c r="C179" s="9">
        <v>0.51</v>
      </c>
    </row>
    <row r="180" spans="1:3" x14ac:dyDescent="0.2">
      <c r="A180" s="9"/>
      <c r="B180" s="9" t="s">
        <v>367</v>
      </c>
      <c r="C180" s="9">
        <v>0.54</v>
      </c>
    </row>
    <row r="181" spans="1:3" x14ac:dyDescent="0.2">
      <c r="A181" s="9"/>
      <c r="B181" s="9" t="s">
        <v>368</v>
      </c>
      <c r="C181" s="9">
        <v>0.38</v>
      </c>
    </row>
    <row r="182" spans="1:3" x14ac:dyDescent="0.2">
      <c r="A182" s="9"/>
      <c r="B182" s="9" t="s">
        <v>369</v>
      </c>
      <c r="C182" s="9">
        <v>0.39</v>
      </c>
    </row>
    <row r="183" spans="1:3" x14ac:dyDescent="0.2">
      <c r="A183" s="9"/>
      <c r="B183" s="9" t="s">
        <v>370</v>
      </c>
      <c r="C183" s="9">
        <v>0.39</v>
      </c>
    </row>
    <row r="184" spans="1:3" x14ac:dyDescent="0.2">
      <c r="A184" s="9"/>
      <c r="B184" s="9" t="s">
        <v>605</v>
      </c>
      <c r="C184" s="9">
        <v>0.39</v>
      </c>
    </row>
    <row r="185" spans="1:3" x14ac:dyDescent="0.2">
      <c r="A185" s="9"/>
      <c r="B185" s="9" t="s">
        <v>372</v>
      </c>
      <c r="C185" s="9">
        <v>0.6</v>
      </c>
    </row>
    <row r="186" spans="1:3" x14ac:dyDescent="0.2">
      <c r="A186" s="9"/>
      <c r="B186" s="9" t="s">
        <v>373</v>
      </c>
      <c r="C186" s="9">
        <v>0.48</v>
      </c>
    </row>
    <row r="187" spans="1:3" x14ac:dyDescent="0.2">
      <c r="A187" s="9"/>
      <c r="B187" s="9" t="s">
        <v>374</v>
      </c>
      <c r="C187" s="9">
        <v>0.51</v>
      </c>
    </row>
    <row r="188" spans="1:3" x14ac:dyDescent="0.2">
      <c r="A188" s="9"/>
      <c r="B188" s="9" t="s">
        <v>375</v>
      </c>
      <c r="C188" s="9">
        <v>0.68</v>
      </c>
    </row>
    <row r="189" spans="1:3" x14ac:dyDescent="0.2">
      <c r="A189" s="9"/>
      <c r="B189" s="9" t="s">
        <v>376</v>
      </c>
      <c r="C189" s="9">
        <v>0.36</v>
      </c>
    </row>
    <row r="190" spans="1:3" x14ac:dyDescent="0.2">
      <c r="A190" s="9"/>
      <c r="B190" s="9" t="s">
        <v>377</v>
      </c>
      <c r="C190" s="9">
        <v>0.44</v>
      </c>
    </row>
    <row r="191" spans="1:3" x14ac:dyDescent="0.2">
      <c r="A191" s="9"/>
      <c r="B191" s="9" t="s">
        <v>378</v>
      </c>
      <c r="C191" s="9">
        <v>0.52</v>
      </c>
    </row>
    <row r="192" spans="1:3" x14ac:dyDescent="0.2">
      <c r="A192" s="9"/>
      <c r="B192" s="9" t="s">
        <v>379</v>
      </c>
      <c r="C192" s="9">
        <v>0.39</v>
      </c>
    </row>
    <row r="193" spans="1:3" x14ac:dyDescent="0.2">
      <c r="A193" s="9"/>
      <c r="B193" s="9" t="s">
        <v>380</v>
      </c>
      <c r="C193" s="9">
        <v>0.49</v>
      </c>
    </row>
    <row r="194" spans="1:3" x14ac:dyDescent="0.2">
      <c r="A194" s="9"/>
      <c r="B194" s="9" t="s">
        <v>381</v>
      </c>
      <c r="C194" s="9">
        <v>0.64</v>
      </c>
    </row>
    <row r="195" spans="1:3" x14ac:dyDescent="0.2">
      <c r="A195" s="9"/>
      <c r="B195" s="9" t="s">
        <v>382</v>
      </c>
      <c r="C195" s="9">
        <v>0.5</v>
      </c>
    </row>
    <row r="196" spans="1:3" x14ac:dyDescent="0.2">
      <c r="A196" s="9"/>
      <c r="B196" s="9" t="s">
        <v>383</v>
      </c>
      <c r="C196" s="9">
        <v>0.67</v>
      </c>
    </row>
    <row r="197" spans="1:3" x14ac:dyDescent="0.2">
      <c r="A197" s="9"/>
      <c r="B197" s="9" t="s">
        <v>384</v>
      </c>
      <c r="C197" s="9">
        <v>0.66</v>
      </c>
    </row>
    <row r="198" spans="1:3" x14ac:dyDescent="0.2">
      <c r="A198" s="9"/>
      <c r="B198" s="9" t="s">
        <v>606</v>
      </c>
      <c r="C198" s="9">
        <v>0.5</v>
      </c>
    </row>
    <row r="199" spans="1:3" x14ac:dyDescent="0.2">
      <c r="A199" s="9"/>
      <c r="B199" s="9" t="s">
        <v>386</v>
      </c>
      <c r="C199" s="9">
        <v>0.47</v>
      </c>
    </row>
    <row r="200" spans="1:3" x14ac:dyDescent="0.2">
      <c r="A200" s="9"/>
      <c r="B200" s="9" t="s">
        <v>387</v>
      </c>
      <c r="C200" s="9">
        <v>0.39</v>
      </c>
    </row>
    <row r="201" spans="1:3" x14ac:dyDescent="0.2">
      <c r="A201" s="9"/>
      <c r="B201" s="9" t="s">
        <v>388</v>
      </c>
      <c r="C201" s="9">
        <v>0.43</v>
      </c>
    </row>
    <row r="202" spans="1:3" x14ac:dyDescent="0.2">
      <c r="A202" s="9"/>
      <c r="B202" s="9" t="s">
        <v>389</v>
      </c>
      <c r="C202" s="9">
        <v>0.5</v>
      </c>
    </row>
    <row r="203" spans="1:3" x14ac:dyDescent="0.2">
      <c r="A203" s="9" t="s">
        <v>422</v>
      </c>
      <c r="B203" s="9" t="s">
        <v>607</v>
      </c>
      <c r="C203" s="9">
        <v>0.67</v>
      </c>
    </row>
    <row r="204" spans="1:3" x14ac:dyDescent="0.2">
      <c r="A204" s="9"/>
      <c r="B204" s="9" t="s">
        <v>608</v>
      </c>
      <c r="C204" s="9">
        <v>0.67</v>
      </c>
    </row>
    <row r="205" spans="1:3" x14ac:dyDescent="0.2">
      <c r="A205" s="9"/>
      <c r="B205" s="9" t="s">
        <v>609</v>
      </c>
      <c r="C205" s="9">
        <v>0.64</v>
      </c>
    </row>
    <row r="206" spans="1:3" x14ac:dyDescent="0.2">
      <c r="A206" s="9"/>
      <c r="B206" s="9" t="s">
        <v>610</v>
      </c>
      <c r="C206" s="9">
        <v>0.6</v>
      </c>
    </row>
    <row r="207" spans="1:3" x14ac:dyDescent="0.2">
      <c r="A207" s="9"/>
      <c r="B207" s="9" t="s">
        <v>611</v>
      </c>
      <c r="C207" s="9">
        <v>0.57999999999999996</v>
      </c>
    </row>
    <row r="208" spans="1:3" x14ac:dyDescent="0.2">
      <c r="A208" s="9"/>
      <c r="B208" s="9" t="s">
        <v>612</v>
      </c>
      <c r="C208" s="9">
        <v>0.63</v>
      </c>
    </row>
    <row r="209" spans="1:3" x14ac:dyDescent="0.2">
      <c r="A209" s="9"/>
      <c r="B209" s="9" t="s">
        <v>613</v>
      </c>
      <c r="C209" s="9">
        <v>0.57999999999999996</v>
      </c>
    </row>
    <row r="210" spans="1:3" x14ac:dyDescent="0.2">
      <c r="A210" s="9"/>
      <c r="B210" s="9" t="s">
        <v>614</v>
      </c>
      <c r="C210" s="9">
        <v>0.64</v>
      </c>
    </row>
    <row r="211" spans="1:3" x14ac:dyDescent="0.2">
      <c r="A211" s="9"/>
      <c r="B211" s="9" t="s">
        <v>615</v>
      </c>
      <c r="C211" s="9">
        <v>0.59</v>
      </c>
    </row>
    <row r="212" spans="1:3" x14ac:dyDescent="0.2">
      <c r="A212" s="9"/>
      <c r="B212" s="9" t="s">
        <v>616</v>
      </c>
      <c r="C212" s="9">
        <v>0.61</v>
      </c>
    </row>
    <row r="213" spans="1:3" x14ac:dyDescent="0.2">
      <c r="A213" s="9"/>
      <c r="B213" s="9" t="s">
        <v>617</v>
      </c>
      <c r="C213" s="9">
        <v>0.57999999999999996</v>
      </c>
    </row>
    <row r="214" spans="1:3" x14ac:dyDescent="0.2">
      <c r="A214" s="9"/>
      <c r="B214" s="9" t="s">
        <v>618</v>
      </c>
      <c r="C214" s="9">
        <v>0.63</v>
      </c>
    </row>
    <row r="215" spans="1:3" x14ac:dyDescent="0.2">
      <c r="A215" s="9"/>
      <c r="B215" s="9" t="s">
        <v>619</v>
      </c>
      <c r="C215" s="9">
        <v>0.59</v>
      </c>
    </row>
    <row r="216" spans="1:3" x14ac:dyDescent="0.2">
      <c r="A216" s="9"/>
      <c r="B216" s="9" t="s">
        <v>620</v>
      </c>
      <c r="C216" s="9">
        <v>0.56999999999999995</v>
      </c>
    </row>
    <row r="217" spans="1:3" x14ac:dyDescent="0.2">
      <c r="A217" s="9"/>
      <c r="B217" s="9" t="s">
        <v>621</v>
      </c>
      <c r="C217" s="9">
        <v>0.6</v>
      </c>
    </row>
    <row r="218" spans="1:3" x14ac:dyDescent="0.2">
      <c r="A218" s="9"/>
      <c r="B218" s="9" t="s">
        <v>622</v>
      </c>
      <c r="C218" s="9">
        <v>0.66</v>
      </c>
    </row>
    <row r="219" spans="1:3" x14ac:dyDescent="0.2">
      <c r="A219" s="9"/>
      <c r="B219" s="9" t="s">
        <v>623</v>
      </c>
      <c r="C219" s="9">
        <v>0.66</v>
      </c>
    </row>
    <row r="220" spans="1:3" x14ac:dyDescent="0.2">
      <c r="A220" s="9"/>
      <c r="B220" s="9" t="s">
        <v>624</v>
      </c>
      <c r="C220" s="9">
        <v>0.63</v>
      </c>
    </row>
    <row r="221" spans="1:3" x14ac:dyDescent="0.2">
      <c r="A221" s="9"/>
      <c r="B221" s="9" t="s">
        <v>625</v>
      </c>
      <c r="C221" s="9">
        <v>0.62</v>
      </c>
    </row>
    <row r="222" spans="1:3" x14ac:dyDescent="0.2">
      <c r="A222" s="9"/>
      <c r="B222" s="9" t="s">
        <v>626</v>
      </c>
      <c r="C222" s="9">
        <v>0.74</v>
      </c>
    </row>
    <row r="223" spans="1:3" x14ac:dyDescent="0.2">
      <c r="A223" s="9"/>
      <c r="B223" s="9" t="s">
        <v>627</v>
      </c>
      <c r="C223" s="9">
        <v>0.66</v>
      </c>
    </row>
    <row r="224" spans="1:3" x14ac:dyDescent="0.2">
      <c r="A224" s="9"/>
      <c r="B224" s="9" t="s">
        <v>628</v>
      </c>
      <c r="C224" s="9">
        <v>0.56000000000000005</v>
      </c>
    </row>
    <row r="225" spans="1:3" x14ac:dyDescent="0.2">
      <c r="A225" s="9"/>
      <c r="B225" s="9" t="s">
        <v>629</v>
      </c>
      <c r="C225" s="9">
        <v>0.61</v>
      </c>
    </row>
    <row r="226" spans="1:3" x14ac:dyDescent="0.2">
      <c r="A226" s="9"/>
      <c r="B226" s="9" t="s">
        <v>630</v>
      </c>
      <c r="C226" s="9">
        <v>0.56000000000000005</v>
      </c>
    </row>
    <row r="227" spans="1:3" x14ac:dyDescent="0.2">
      <c r="A227" s="9"/>
      <c r="B227" s="9" t="s">
        <v>631</v>
      </c>
      <c r="C227" s="9">
        <v>0.61</v>
      </c>
    </row>
    <row r="228" spans="1:3" x14ac:dyDescent="0.2">
      <c r="A228" s="9" t="s">
        <v>632</v>
      </c>
      <c r="B228" s="9" t="s">
        <v>633</v>
      </c>
      <c r="C228" s="9">
        <v>0.59</v>
      </c>
    </row>
    <row r="229" spans="1:3" x14ac:dyDescent="0.2">
      <c r="A229" s="9"/>
      <c r="B229" s="9" t="s">
        <v>634</v>
      </c>
      <c r="C229" s="9">
        <v>0.51</v>
      </c>
    </row>
    <row r="230" spans="1:3" x14ac:dyDescent="0.2">
      <c r="A230" s="9"/>
      <c r="B230" s="9" t="s">
        <v>635</v>
      </c>
      <c r="C230" s="9">
        <v>0.53</v>
      </c>
    </row>
    <row r="231" spans="1:3" x14ac:dyDescent="0.2">
      <c r="A231" s="9"/>
      <c r="B231" s="9" t="s">
        <v>636</v>
      </c>
      <c r="C231" s="9">
        <v>0.53</v>
      </c>
    </row>
    <row r="232" spans="1:3" x14ac:dyDescent="0.2">
      <c r="A232" s="9"/>
      <c r="B232" s="9" t="s">
        <v>637</v>
      </c>
      <c r="C232" s="9">
        <v>0.48</v>
      </c>
    </row>
    <row r="233" spans="1:3" x14ac:dyDescent="0.2">
      <c r="A233" s="9"/>
      <c r="B233" s="9" t="s">
        <v>638</v>
      </c>
      <c r="C233" s="9">
        <v>0.52</v>
      </c>
    </row>
    <row r="234" spans="1:3" x14ac:dyDescent="0.2">
      <c r="A234" s="9"/>
      <c r="B234" s="9" t="s">
        <v>639</v>
      </c>
      <c r="C234" s="9">
        <v>0.5</v>
      </c>
    </row>
    <row r="235" spans="1:3" x14ac:dyDescent="0.2">
      <c r="A235" s="9"/>
      <c r="B235" s="9" t="s">
        <v>640</v>
      </c>
      <c r="C235" s="9">
        <v>0.47</v>
      </c>
    </row>
    <row r="236" spans="1:3" x14ac:dyDescent="0.2">
      <c r="A236" s="9"/>
      <c r="B236" s="9" t="s">
        <v>641</v>
      </c>
      <c r="C236" s="9">
        <v>0.52</v>
      </c>
    </row>
    <row r="237" spans="1:3" x14ac:dyDescent="0.2">
      <c r="A237" s="9"/>
      <c r="B237" s="9" t="s">
        <v>642</v>
      </c>
      <c r="C237" s="9">
        <v>0.35</v>
      </c>
    </row>
    <row r="238" spans="1:3" x14ac:dyDescent="0.2">
      <c r="A238" s="9"/>
      <c r="B238" s="9" t="s">
        <v>643</v>
      </c>
      <c r="C238" s="9">
        <v>0.37</v>
      </c>
    </row>
    <row r="239" spans="1:3" x14ac:dyDescent="0.2">
      <c r="A239" s="9"/>
      <c r="B239" s="9" t="s">
        <v>644</v>
      </c>
      <c r="C239" s="9">
        <v>0.4</v>
      </c>
    </row>
    <row r="240" spans="1:3" x14ac:dyDescent="0.2">
      <c r="A240" s="9"/>
      <c r="B240" s="9" t="s">
        <v>645</v>
      </c>
      <c r="C240" s="9">
        <v>0.41</v>
      </c>
    </row>
    <row r="241" spans="1:3" x14ac:dyDescent="0.2">
      <c r="A241" s="9"/>
      <c r="B241" s="9" t="s">
        <v>646</v>
      </c>
      <c r="C241" s="9">
        <v>0.35</v>
      </c>
    </row>
    <row r="242" spans="1:3" x14ac:dyDescent="0.2">
      <c r="A242" s="9"/>
      <c r="B242" s="9" t="s">
        <v>647</v>
      </c>
      <c r="C242" s="9">
        <v>0.38</v>
      </c>
    </row>
    <row r="243" spans="1:3" x14ac:dyDescent="0.2">
      <c r="A243" s="9"/>
      <c r="B243" s="9" t="s">
        <v>648</v>
      </c>
      <c r="C243" s="9">
        <v>0.33</v>
      </c>
    </row>
    <row r="244" spans="1:3" x14ac:dyDescent="0.2">
      <c r="A244" s="9"/>
      <c r="B244" s="9" t="s">
        <v>649</v>
      </c>
      <c r="C244" s="9">
        <v>0.38</v>
      </c>
    </row>
    <row r="245" spans="1:3" x14ac:dyDescent="0.2">
      <c r="A245" s="9"/>
      <c r="B245" s="9" t="s">
        <v>650</v>
      </c>
      <c r="C245" s="9">
        <v>0.41</v>
      </c>
    </row>
    <row r="246" spans="1:3" x14ac:dyDescent="0.2">
      <c r="A246" s="9"/>
      <c r="B246" s="9" t="s">
        <v>651</v>
      </c>
      <c r="C246" s="9">
        <v>0.39</v>
      </c>
    </row>
    <row r="247" spans="1:3" x14ac:dyDescent="0.2">
      <c r="A247" s="9"/>
      <c r="B247" s="9" t="s">
        <v>652</v>
      </c>
      <c r="C247" s="9">
        <v>0.49</v>
      </c>
    </row>
    <row r="248" spans="1:3" x14ac:dyDescent="0.2">
      <c r="A248" s="9"/>
      <c r="B248" s="9" t="s">
        <v>653</v>
      </c>
      <c r="C248" s="9">
        <v>0.41</v>
      </c>
    </row>
    <row r="249" spans="1:3" x14ac:dyDescent="0.2">
      <c r="A249" s="9"/>
      <c r="B249" s="9" t="s">
        <v>654</v>
      </c>
      <c r="C249" s="9">
        <v>0.34</v>
      </c>
    </row>
    <row r="250" spans="1:3" x14ac:dyDescent="0.2">
      <c r="A250" s="9"/>
      <c r="B250" s="9" t="s">
        <v>655</v>
      </c>
      <c r="C250" s="9">
        <v>0.38</v>
      </c>
    </row>
    <row r="251" spans="1:3" x14ac:dyDescent="0.2">
      <c r="A251" s="9"/>
      <c r="B251" s="9" t="s">
        <v>656</v>
      </c>
      <c r="C251" s="9">
        <v>0.39</v>
      </c>
    </row>
    <row r="252" spans="1:3" x14ac:dyDescent="0.2">
      <c r="A252" s="9"/>
      <c r="B252" s="9" t="s">
        <v>657</v>
      </c>
      <c r="C252" s="9">
        <v>0.41</v>
      </c>
    </row>
    <row r="253" spans="1:3" x14ac:dyDescent="0.2">
      <c r="A253" s="9"/>
      <c r="B253" s="9" t="s">
        <v>658</v>
      </c>
      <c r="C253" s="9">
        <v>0.38</v>
      </c>
    </row>
    <row r="254" spans="1:3" x14ac:dyDescent="0.2">
      <c r="A254" s="9"/>
      <c r="B254" s="9" t="s">
        <v>659</v>
      </c>
      <c r="C254" s="9">
        <v>0.41</v>
      </c>
    </row>
    <row r="255" spans="1:3" x14ac:dyDescent="0.2">
      <c r="A255" s="9"/>
      <c r="B255" s="9" t="s">
        <v>660</v>
      </c>
      <c r="C255" s="9">
        <v>0.37</v>
      </c>
    </row>
    <row r="256" spans="1:3" x14ac:dyDescent="0.2">
      <c r="A256" s="9"/>
      <c r="B256" s="9" t="s">
        <v>661</v>
      </c>
      <c r="C256" s="9">
        <v>0.38</v>
      </c>
    </row>
    <row r="257" spans="1:3" x14ac:dyDescent="0.2">
      <c r="A257" s="9"/>
      <c r="B257" s="9" t="s">
        <v>662</v>
      </c>
      <c r="C257" s="9">
        <v>0.35</v>
      </c>
    </row>
    <row r="258" spans="1:3" x14ac:dyDescent="0.2">
      <c r="A258" s="9"/>
      <c r="B258" s="9" t="s">
        <v>663</v>
      </c>
      <c r="C258" s="9">
        <v>0.35</v>
      </c>
    </row>
    <row r="259" spans="1:3" x14ac:dyDescent="0.2">
      <c r="A259" s="9"/>
      <c r="B259" s="9" t="s">
        <v>664</v>
      </c>
      <c r="C259" s="9">
        <v>0.32</v>
      </c>
    </row>
    <row r="260" spans="1:3" x14ac:dyDescent="0.2">
      <c r="A260" s="9"/>
      <c r="B260" s="9" t="s">
        <v>665</v>
      </c>
      <c r="C260" s="9">
        <v>0.38</v>
      </c>
    </row>
    <row r="261" spans="1:3" x14ac:dyDescent="0.2">
      <c r="A261" s="9"/>
      <c r="B261" s="9" t="s">
        <v>666</v>
      </c>
      <c r="C261" s="9">
        <v>0.39</v>
      </c>
    </row>
    <row r="262" spans="1:3" x14ac:dyDescent="0.2">
      <c r="A262" s="9"/>
      <c r="B262" s="9" t="s">
        <v>667</v>
      </c>
      <c r="C262" s="9">
        <v>0.38</v>
      </c>
    </row>
    <row r="263" spans="1:3" x14ac:dyDescent="0.2">
      <c r="A263" s="9"/>
      <c r="B263" s="9" t="s">
        <v>668</v>
      </c>
      <c r="C263" s="9">
        <v>0.39</v>
      </c>
    </row>
    <row r="264" spans="1:3" x14ac:dyDescent="0.2">
      <c r="A264" s="9"/>
      <c r="B264" s="9" t="s">
        <v>669</v>
      </c>
      <c r="C264" s="9">
        <v>0.42</v>
      </c>
    </row>
    <row r="265" spans="1:3" x14ac:dyDescent="0.2">
      <c r="A265" s="9"/>
      <c r="B265" s="9" t="s">
        <v>670</v>
      </c>
      <c r="C265" s="9">
        <v>0.41</v>
      </c>
    </row>
    <row r="266" spans="1:3" x14ac:dyDescent="0.2">
      <c r="A266" s="9"/>
      <c r="B266" s="9" t="s">
        <v>671</v>
      </c>
      <c r="C266" s="9">
        <v>0.38</v>
      </c>
    </row>
    <row r="267" spans="1:3" x14ac:dyDescent="0.2">
      <c r="A267" s="9"/>
      <c r="B267" s="9" t="s">
        <v>672</v>
      </c>
      <c r="C267" s="9">
        <v>0.37</v>
      </c>
    </row>
    <row r="268" spans="1:3" x14ac:dyDescent="0.2">
      <c r="A268" s="9"/>
      <c r="B268" s="9" t="s">
        <v>673</v>
      </c>
      <c r="C268" s="9">
        <v>0.35</v>
      </c>
    </row>
    <row r="269" spans="1:3" x14ac:dyDescent="0.2">
      <c r="A269" s="9"/>
      <c r="B269" s="9" t="s">
        <v>674</v>
      </c>
      <c r="C269" s="9">
        <v>0.42</v>
      </c>
    </row>
    <row r="270" spans="1:3" x14ac:dyDescent="0.2">
      <c r="A270" s="9"/>
      <c r="B270" s="9" t="s">
        <v>675</v>
      </c>
      <c r="C270" s="9">
        <v>0.43</v>
      </c>
    </row>
    <row r="271" spans="1:3" x14ac:dyDescent="0.2">
      <c r="A271" s="9"/>
      <c r="B271" s="9" t="s">
        <v>676</v>
      </c>
      <c r="C271" s="9">
        <v>0.37</v>
      </c>
    </row>
    <row r="272" spans="1:3" x14ac:dyDescent="0.2">
      <c r="A272" s="9"/>
      <c r="B272" s="9" t="s">
        <v>677</v>
      </c>
      <c r="C272" s="9">
        <v>0.37</v>
      </c>
    </row>
    <row r="273" spans="1:3" x14ac:dyDescent="0.2">
      <c r="A273" s="9"/>
      <c r="B273" s="9" t="s">
        <v>678</v>
      </c>
      <c r="C273" s="9">
        <v>0.41</v>
      </c>
    </row>
    <row r="274" spans="1:3" x14ac:dyDescent="0.2">
      <c r="A274" s="9"/>
      <c r="B274" s="9" t="s">
        <v>679</v>
      </c>
      <c r="C274" s="9">
        <v>0.42</v>
      </c>
    </row>
    <row r="275" spans="1:3" x14ac:dyDescent="0.2">
      <c r="A275" s="9"/>
      <c r="B275" s="9" t="s">
        <v>680</v>
      </c>
      <c r="C275" s="9">
        <v>0.42</v>
      </c>
    </row>
    <row r="276" spans="1:3" x14ac:dyDescent="0.2">
      <c r="A276" s="9"/>
      <c r="B276" s="9" t="s">
        <v>681</v>
      </c>
      <c r="C276" s="9">
        <v>0.38</v>
      </c>
    </row>
    <row r="277" spans="1:3" x14ac:dyDescent="0.2">
      <c r="A277" s="9"/>
      <c r="B277" s="9" t="s">
        <v>682</v>
      </c>
      <c r="C277" s="9">
        <v>0.41</v>
      </c>
    </row>
    <row r="278" spans="1:3" x14ac:dyDescent="0.2">
      <c r="A278" s="9"/>
      <c r="B278" s="9" t="s">
        <v>683</v>
      </c>
      <c r="C278" s="9">
        <v>0.39</v>
      </c>
    </row>
    <row r="279" spans="1:3" x14ac:dyDescent="0.2">
      <c r="A279" s="9"/>
      <c r="B279" s="9" t="s">
        <v>684</v>
      </c>
      <c r="C279" s="9">
        <v>0.38</v>
      </c>
    </row>
    <row r="280" spans="1:3" x14ac:dyDescent="0.2">
      <c r="A280" s="9"/>
      <c r="B280" s="9" t="s">
        <v>685</v>
      </c>
      <c r="C280" s="9">
        <v>0.37</v>
      </c>
    </row>
    <row r="281" spans="1:3" x14ac:dyDescent="0.2">
      <c r="A281" s="9"/>
      <c r="B281" s="9" t="s">
        <v>686</v>
      </c>
      <c r="C281" s="9">
        <v>0.4</v>
      </c>
    </row>
    <row r="282" spans="1:3" x14ac:dyDescent="0.2">
      <c r="A282" s="9"/>
      <c r="B282" s="9" t="s">
        <v>687</v>
      </c>
      <c r="C282" s="9">
        <v>0.46</v>
      </c>
    </row>
    <row r="283" spans="1:3" x14ac:dyDescent="0.2">
      <c r="A283" s="9"/>
      <c r="B283" s="9" t="s">
        <v>688</v>
      </c>
      <c r="C283" s="9">
        <v>0.41</v>
      </c>
    </row>
    <row r="284" spans="1:3" x14ac:dyDescent="0.2">
      <c r="A284" s="9"/>
      <c r="B284" s="9" t="s">
        <v>689</v>
      </c>
      <c r="C284" s="9">
        <v>0.4</v>
      </c>
    </row>
    <row r="285" spans="1:3" x14ac:dyDescent="0.2">
      <c r="A285" s="9"/>
      <c r="B285" s="9" t="s">
        <v>690</v>
      </c>
      <c r="C285" s="9">
        <v>0.4</v>
      </c>
    </row>
    <row r="286" spans="1:3" x14ac:dyDescent="0.2">
      <c r="A286" s="9"/>
      <c r="B286" s="9" t="s">
        <v>691</v>
      </c>
      <c r="C286" s="9">
        <v>0.39</v>
      </c>
    </row>
    <row r="287" spans="1:3" x14ac:dyDescent="0.2">
      <c r="A287" s="9"/>
      <c r="B287" s="9" t="s">
        <v>692</v>
      </c>
      <c r="C287" s="9">
        <v>0.39</v>
      </c>
    </row>
    <row r="288" spans="1:3" x14ac:dyDescent="0.2">
      <c r="A288" s="9"/>
      <c r="B288" s="9" t="s">
        <v>693</v>
      </c>
      <c r="C288" s="9">
        <v>0.35</v>
      </c>
    </row>
    <row r="289" spans="1:3" x14ac:dyDescent="0.2">
      <c r="A289" s="9"/>
      <c r="B289" s="9" t="s">
        <v>694</v>
      </c>
      <c r="C289" s="9">
        <v>0.37</v>
      </c>
    </row>
    <row r="290" spans="1:3" x14ac:dyDescent="0.2">
      <c r="A290" s="9"/>
      <c r="B290" s="9" t="s">
        <v>695</v>
      </c>
      <c r="C290" s="9">
        <v>0.4</v>
      </c>
    </row>
    <row r="291" spans="1:3" x14ac:dyDescent="0.2">
      <c r="A291" s="9"/>
      <c r="B291" s="9" t="s">
        <v>696</v>
      </c>
      <c r="C291" s="9">
        <v>0.41</v>
      </c>
    </row>
    <row r="292" spans="1:3" x14ac:dyDescent="0.2">
      <c r="A292" s="9"/>
      <c r="B292" s="9" t="s">
        <v>697</v>
      </c>
      <c r="C292" s="9">
        <v>0.4</v>
      </c>
    </row>
    <row r="293" spans="1:3" x14ac:dyDescent="0.2">
      <c r="A293" s="9"/>
      <c r="B293" s="9" t="s">
        <v>698</v>
      </c>
      <c r="C293" s="9">
        <v>0.36</v>
      </c>
    </row>
    <row r="294" spans="1:3" x14ac:dyDescent="0.2">
      <c r="A294" s="9"/>
      <c r="B294" s="9" t="s">
        <v>699</v>
      </c>
      <c r="C294" s="9">
        <v>0.38</v>
      </c>
    </row>
    <row r="295" spans="1:3" x14ac:dyDescent="0.2">
      <c r="A295" s="9"/>
      <c r="B295" s="9" t="s">
        <v>700</v>
      </c>
      <c r="C295" s="9">
        <v>0.4</v>
      </c>
    </row>
    <row r="296" spans="1:3" x14ac:dyDescent="0.2">
      <c r="A296" s="9"/>
      <c r="B296" s="9" t="s">
        <v>701</v>
      </c>
      <c r="C296" s="9">
        <v>0.36</v>
      </c>
    </row>
    <row r="297" spans="1:3" x14ac:dyDescent="0.2">
      <c r="A297" s="9"/>
      <c r="B297" s="9" t="s">
        <v>702</v>
      </c>
      <c r="C297" s="9">
        <v>0.39</v>
      </c>
    </row>
    <row r="298" spans="1:3" x14ac:dyDescent="0.2">
      <c r="A298" s="9" t="s">
        <v>427</v>
      </c>
      <c r="B298" s="9" t="s">
        <v>703</v>
      </c>
      <c r="C298" s="9">
        <v>0.35</v>
      </c>
    </row>
    <row r="299" spans="1:3" x14ac:dyDescent="0.2">
      <c r="A299" s="9"/>
      <c r="B299" s="9" t="s">
        <v>704</v>
      </c>
      <c r="C299" s="9">
        <v>0.28999999999999998</v>
      </c>
    </row>
    <row r="300" spans="1:3" x14ac:dyDescent="0.2">
      <c r="A300" s="9"/>
      <c r="B300" s="9" t="s">
        <v>705</v>
      </c>
      <c r="C300" s="9">
        <v>0.42</v>
      </c>
    </row>
    <row r="301" spans="1:3" x14ac:dyDescent="0.2">
      <c r="A301" s="9"/>
      <c r="B301" s="9" t="s">
        <v>706</v>
      </c>
      <c r="C301" s="9">
        <v>0.48</v>
      </c>
    </row>
    <row r="302" spans="1:3" x14ac:dyDescent="0.2">
      <c r="A302" s="9"/>
      <c r="B302" s="9" t="s">
        <v>707</v>
      </c>
      <c r="C302" s="9">
        <v>0.35</v>
      </c>
    </row>
    <row r="303" spans="1:3" x14ac:dyDescent="0.2">
      <c r="A303" s="9"/>
      <c r="B303" s="9" t="s">
        <v>708</v>
      </c>
      <c r="C303" s="9">
        <v>0.55000000000000004</v>
      </c>
    </row>
    <row r="304" spans="1:3" x14ac:dyDescent="0.2">
      <c r="A304" s="9"/>
      <c r="B304" s="9" t="s">
        <v>709</v>
      </c>
      <c r="C304" s="9">
        <v>0.36</v>
      </c>
    </row>
    <row r="305" spans="1:3" x14ac:dyDescent="0.2">
      <c r="A305" s="9"/>
      <c r="B305" s="9" t="s">
        <v>710</v>
      </c>
      <c r="C305" s="9">
        <v>0.47</v>
      </c>
    </row>
    <row r="306" spans="1:3" x14ac:dyDescent="0.2">
      <c r="A306" s="9"/>
      <c r="B306" s="9" t="s">
        <v>711</v>
      </c>
      <c r="C306" s="9">
        <v>0.51</v>
      </c>
    </row>
    <row r="307" spans="1:3" x14ac:dyDescent="0.2">
      <c r="A307" s="9"/>
      <c r="B307" s="9" t="s">
        <v>712</v>
      </c>
      <c r="C307" s="9">
        <v>0.45</v>
      </c>
    </row>
    <row r="308" spans="1:3" x14ac:dyDescent="0.2">
      <c r="A308" s="9" t="s">
        <v>313</v>
      </c>
      <c r="B308" s="9" t="s">
        <v>713</v>
      </c>
      <c r="C308" s="9">
        <v>0.56000000000000005</v>
      </c>
    </row>
    <row r="309" spans="1:3" x14ac:dyDescent="0.2">
      <c r="A309" s="9"/>
      <c r="B309" s="9" t="s">
        <v>714</v>
      </c>
      <c r="C309" s="9">
        <v>0.6</v>
      </c>
    </row>
    <row r="310" spans="1:3" x14ac:dyDescent="0.2">
      <c r="A310" s="9"/>
      <c r="B310" s="9" t="s">
        <v>715</v>
      </c>
      <c r="C310" s="9">
        <v>0.55000000000000004</v>
      </c>
    </row>
    <row r="311" spans="1:3" x14ac:dyDescent="0.2">
      <c r="A311" s="9"/>
      <c r="B311" s="9" t="s">
        <v>716</v>
      </c>
      <c r="C311" s="9">
        <v>0.6</v>
      </c>
    </row>
    <row r="312" spans="1:3" x14ac:dyDescent="0.2">
      <c r="A312" s="9"/>
      <c r="B312" s="9" t="s">
        <v>717</v>
      </c>
      <c r="C312" s="9">
        <v>0.61</v>
      </c>
    </row>
    <row r="313" spans="1:3" x14ac:dyDescent="0.2">
      <c r="A313" s="9"/>
      <c r="B313" s="9" t="s">
        <v>718</v>
      </c>
      <c r="C313" s="9">
        <v>0.68</v>
      </c>
    </row>
    <row r="314" spans="1:3" x14ac:dyDescent="0.2">
      <c r="A314" s="9"/>
      <c r="B314" s="9" t="s">
        <v>719</v>
      </c>
      <c r="C314" s="9">
        <v>0.65</v>
      </c>
    </row>
    <row r="315" spans="1:3" x14ac:dyDescent="0.2">
      <c r="A315" s="9"/>
      <c r="B315" s="9" t="s">
        <v>720</v>
      </c>
      <c r="C315" s="9">
        <v>0.51</v>
      </c>
    </row>
    <row r="316" spans="1:3" x14ac:dyDescent="0.2">
      <c r="A316" s="9"/>
      <c r="B316" s="9" t="s">
        <v>721</v>
      </c>
      <c r="C316" s="9">
        <v>0.6</v>
      </c>
    </row>
    <row r="317" spans="1:3" x14ac:dyDescent="0.2">
      <c r="A317" s="9"/>
      <c r="B317" s="9" t="s">
        <v>722</v>
      </c>
      <c r="C317" s="9">
        <v>0.63</v>
      </c>
    </row>
    <row r="318" spans="1:3" x14ac:dyDescent="0.2">
      <c r="A318" s="9"/>
      <c r="B318" s="9" t="s">
        <v>392</v>
      </c>
      <c r="C318" s="9">
        <v>0.68</v>
      </c>
    </row>
    <row r="319" spans="1:3" x14ac:dyDescent="0.2">
      <c r="A319" s="9"/>
      <c r="B319" s="9" t="s">
        <v>723</v>
      </c>
      <c r="C319" s="9">
        <v>0.57999999999999996</v>
      </c>
    </row>
    <row r="320" spans="1:3" x14ac:dyDescent="0.2">
      <c r="A320" s="9"/>
      <c r="B320" s="9" t="s">
        <v>724</v>
      </c>
      <c r="C320" s="9">
        <v>0.7</v>
      </c>
    </row>
    <row r="321" spans="1:3" x14ac:dyDescent="0.2">
      <c r="A321" s="9" t="s">
        <v>428</v>
      </c>
      <c r="B321" s="9" t="s">
        <v>725</v>
      </c>
      <c r="C321" s="9">
        <v>0.56999999999999995</v>
      </c>
    </row>
    <row r="322" spans="1:3" x14ac:dyDescent="0.2">
      <c r="A322" s="9"/>
      <c r="B322" s="9" t="s">
        <v>726</v>
      </c>
      <c r="C322" s="9">
        <v>0.48</v>
      </c>
    </row>
    <row r="323" spans="1:3" x14ac:dyDescent="0.2">
      <c r="A323" s="9"/>
      <c r="B323" s="9" t="s">
        <v>727</v>
      </c>
      <c r="C323" s="9">
        <v>0.45</v>
      </c>
    </row>
    <row r="324" spans="1:3" x14ac:dyDescent="0.2">
      <c r="A324" s="9"/>
      <c r="B324" s="9" t="s">
        <v>728</v>
      </c>
      <c r="C324" s="9">
        <v>0.6</v>
      </c>
    </row>
    <row r="325" spans="1:3" x14ac:dyDescent="0.2">
      <c r="A325" s="9"/>
      <c r="B325" s="9" t="s">
        <v>729</v>
      </c>
      <c r="C325" s="9">
        <v>0.56000000000000005</v>
      </c>
    </row>
    <row r="326" spans="1:3" x14ac:dyDescent="0.2">
      <c r="A326" s="9"/>
      <c r="B326" s="9" t="s">
        <v>730</v>
      </c>
      <c r="C326" s="9">
        <v>0.6</v>
      </c>
    </row>
    <row r="327" spans="1:3" x14ac:dyDescent="0.2">
      <c r="A327" s="9"/>
      <c r="B327" s="9" t="s">
        <v>731</v>
      </c>
      <c r="C327" s="9">
        <v>0.59</v>
      </c>
    </row>
    <row r="328" spans="1:3" x14ac:dyDescent="0.2">
      <c r="A328" s="9"/>
      <c r="B328" s="9" t="s">
        <v>732</v>
      </c>
      <c r="C328" s="9">
        <v>0.56000000000000005</v>
      </c>
    </row>
    <row r="329" spans="1:3" x14ac:dyDescent="0.2">
      <c r="A329" s="9"/>
      <c r="B329" s="9" t="s">
        <v>733</v>
      </c>
      <c r="C329" s="9">
        <v>0.47</v>
      </c>
    </row>
    <row r="330" spans="1:3" x14ac:dyDescent="0.2">
      <c r="A330" s="9"/>
      <c r="B330" s="9" t="s">
        <v>734</v>
      </c>
      <c r="C330" s="9">
        <v>0.57999999999999996</v>
      </c>
    </row>
    <row r="331" spans="1:3" x14ac:dyDescent="0.2">
      <c r="A331" s="9"/>
      <c r="B331" s="9" t="s">
        <v>735</v>
      </c>
      <c r="C331" s="9">
        <v>0.44</v>
      </c>
    </row>
    <row r="332" spans="1:3" x14ac:dyDescent="0.2">
      <c r="A332" s="9"/>
      <c r="B332" s="9" t="s">
        <v>736</v>
      </c>
      <c r="C332" s="9">
        <v>0.55000000000000004</v>
      </c>
    </row>
    <row r="333" spans="1:3" x14ac:dyDescent="0.2">
      <c r="A333" s="9"/>
      <c r="B333" s="9" t="s">
        <v>737</v>
      </c>
      <c r="C333" s="9">
        <v>0.51</v>
      </c>
    </row>
    <row r="334" spans="1:3" x14ac:dyDescent="0.2">
      <c r="A334" s="9"/>
      <c r="B334" s="9" t="s">
        <v>738</v>
      </c>
      <c r="C334" s="9">
        <v>0.57999999999999996</v>
      </c>
    </row>
    <row r="335" spans="1:3" x14ac:dyDescent="0.2">
      <c r="A335" s="9"/>
      <c r="B335" s="9" t="s">
        <v>739</v>
      </c>
      <c r="C335" s="9">
        <v>0.44</v>
      </c>
    </row>
    <row r="336" spans="1:3" x14ac:dyDescent="0.2">
      <c r="A336" s="9"/>
      <c r="B336" s="9" t="s">
        <v>740</v>
      </c>
      <c r="C336" s="9">
        <v>0.56999999999999995</v>
      </c>
    </row>
    <row r="337" spans="1:3" x14ac:dyDescent="0.2">
      <c r="A337" s="9"/>
      <c r="B337" s="9" t="s">
        <v>741</v>
      </c>
      <c r="C337" s="9">
        <v>0.51</v>
      </c>
    </row>
    <row r="338" spans="1:3" x14ac:dyDescent="0.2">
      <c r="A338" s="9"/>
      <c r="B338" s="9" t="s">
        <v>742</v>
      </c>
      <c r="C338" s="9">
        <v>0.56999999999999995</v>
      </c>
    </row>
    <row r="339" spans="1:3" x14ac:dyDescent="0.2">
      <c r="A339" s="9"/>
      <c r="B339" s="9" t="s">
        <v>743</v>
      </c>
      <c r="C339" s="9">
        <v>0.57999999999999996</v>
      </c>
    </row>
    <row r="340" spans="1:3" x14ac:dyDescent="0.2">
      <c r="A340" s="9" t="s">
        <v>429</v>
      </c>
      <c r="B340" s="9" t="s">
        <v>744</v>
      </c>
      <c r="C340" s="9">
        <v>0.53</v>
      </c>
    </row>
    <row r="341" spans="1:3" x14ac:dyDescent="0.2">
      <c r="A341" s="9"/>
      <c r="B341" s="9" t="s">
        <v>745</v>
      </c>
      <c r="C341" s="9">
        <v>0.48</v>
      </c>
    </row>
    <row r="342" spans="1:3" x14ac:dyDescent="0.2">
      <c r="A342" s="9"/>
      <c r="B342" s="9" t="s">
        <v>746</v>
      </c>
      <c r="C342" s="9">
        <v>0.56999999999999995</v>
      </c>
    </row>
    <row r="343" spans="1:3" x14ac:dyDescent="0.2">
      <c r="A343" s="9"/>
      <c r="B343" s="9" t="s">
        <v>747</v>
      </c>
      <c r="C343" s="9">
        <v>0.54</v>
      </c>
    </row>
    <row r="344" spans="1:3" x14ac:dyDescent="0.2">
      <c r="A344" s="9"/>
      <c r="B344" s="9" t="s">
        <v>748</v>
      </c>
      <c r="C344" s="9">
        <v>0.45</v>
      </c>
    </row>
    <row r="345" spans="1:3" x14ac:dyDescent="0.2">
      <c r="A345" s="9"/>
      <c r="B345" s="9" t="s">
        <v>749</v>
      </c>
      <c r="C345" s="9">
        <v>0.54</v>
      </c>
    </row>
    <row r="346" spans="1:3" x14ac:dyDescent="0.2">
      <c r="A346" s="9"/>
      <c r="B346" s="9" t="s">
        <v>750</v>
      </c>
      <c r="C346" s="9">
        <v>0.53</v>
      </c>
    </row>
    <row r="347" spans="1:3" x14ac:dyDescent="0.2">
      <c r="A347" s="9"/>
      <c r="B347" s="9" t="s">
        <v>751</v>
      </c>
      <c r="C347" s="9">
        <v>0.47</v>
      </c>
    </row>
    <row r="348" spans="1:3" x14ac:dyDescent="0.2">
      <c r="A348" s="9"/>
      <c r="B348" s="9" t="s">
        <v>752</v>
      </c>
      <c r="C348" s="9">
        <v>0.56999999999999995</v>
      </c>
    </row>
    <row r="349" spans="1:3" x14ac:dyDescent="0.2">
      <c r="A349" s="9"/>
      <c r="B349" s="9" t="s">
        <v>753</v>
      </c>
      <c r="C349" s="9">
        <v>0.5</v>
      </c>
    </row>
    <row r="350" spans="1:3" x14ac:dyDescent="0.2">
      <c r="A350" s="9" t="s">
        <v>430</v>
      </c>
      <c r="B350" s="9" t="s">
        <v>754</v>
      </c>
      <c r="C350" s="9">
        <v>0.59</v>
      </c>
    </row>
    <row r="351" spans="1:3" x14ac:dyDescent="0.2">
      <c r="A351" s="9"/>
      <c r="B351" s="9" t="s">
        <v>755</v>
      </c>
      <c r="C351" s="9">
        <v>0.54</v>
      </c>
    </row>
    <row r="352" spans="1:3" x14ac:dyDescent="0.2">
      <c r="A352" s="9"/>
      <c r="B352" s="9" t="s">
        <v>756</v>
      </c>
      <c r="C352" s="9">
        <v>0.56999999999999995</v>
      </c>
    </row>
    <row r="353" spans="1:3" x14ac:dyDescent="0.2">
      <c r="A353" s="9"/>
      <c r="B353" s="9" t="s">
        <v>757</v>
      </c>
      <c r="C353" s="9">
        <v>0.54</v>
      </c>
    </row>
    <row r="354" spans="1:3" x14ac:dyDescent="0.2">
      <c r="A354" s="9"/>
      <c r="B354" s="9" t="s">
        <v>758</v>
      </c>
      <c r="C354" s="9">
        <v>0.56999999999999995</v>
      </c>
    </row>
    <row r="355" spans="1:3" x14ac:dyDescent="0.2">
      <c r="A355" s="9"/>
      <c r="B355" s="9" t="s">
        <v>759</v>
      </c>
      <c r="C355" s="9">
        <v>0.56000000000000005</v>
      </c>
    </row>
    <row r="356" spans="1:3" x14ac:dyDescent="0.2">
      <c r="A356" s="9"/>
      <c r="B356" s="9" t="s">
        <v>760</v>
      </c>
      <c r="C356" s="9">
        <v>0.53</v>
      </c>
    </row>
    <row r="357" spans="1:3" x14ac:dyDescent="0.2">
      <c r="A357" s="9"/>
      <c r="B357" s="9" t="s">
        <v>761</v>
      </c>
      <c r="C357" s="9">
        <v>0.56000000000000005</v>
      </c>
    </row>
    <row r="358" spans="1:3" x14ac:dyDescent="0.2">
      <c r="A358" s="9"/>
      <c r="B358" s="9" t="s">
        <v>762</v>
      </c>
      <c r="C358" s="9">
        <v>0.49</v>
      </c>
    </row>
    <row r="359" spans="1:3" x14ac:dyDescent="0.2">
      <c r="A359" s="9"/>
      <c r="B359" s="9" t="s">
        <v>763</v>
      </c>
      <c r="C359" s="9">
        <v>0.56999999999999995</v>
      </c>
    </row>
    <row r="360" spans="1:3" x14ac:dyDescent="0.2">
      <c r="A360" s="9"/>
      <c r="B360" s="9" t="s">
        <v>764</v>
      </c>
      <c r="C360" s="9">
        <v>0.51</v>
      </c>
    </row>
    <row r="361" spans="1:3" x14ac:dyDescent="0.2">
      <c r="A361" s="9"/>
      <c r="B361" s="9" t="s">
        <v>765</v>
      </c>
      <c r="C361" s="9">
        <v>0.56999999999999995</v>
      </c>
    </row>
    <row r="362" spans="1:3" x14ac:dyDescent="0.2">
      <c r="A362" s="9"/>
      <c r="B362" s="9" t="s">
        <v>766</v>
      </c>
      <c r="C362" s="9">
        <v>0.46</v>
      </c>
    </row>
    <row r="363" spans="1:3" x14ac:dyDescent="0.2">
      <c r="A363" s="9"/>
      <c r="B363" s="9" t="s">
        <v>767</v>
      </c>
      <c r="C363" s="9">
        <v>0.56000000000000005</v>
      </c>
    </row>
    <row r="364" spans="1:3" x14ac:dyDescent="0.2">
      <c r="A364" s="9"/>
      <c r="B364" s="9" t="s">
        <v>768</v>
      </c>
      <c r="C364" s="9">
        <v>0.57999999999999996</v>
      </c>
    </row>
    <row r="365" spans="1:3" x14ac:dyDescent="0.2">
      <c r="A365" s="9"/>
      <c r="B365" s="9" t="s">
        <v>769</v>
      </c>
      <c r="C365" s="9">
        <v>0.59</v>
      </c>
    </row>
    <row r="366" spans="1:3" x14ac:dyDescent="0.2">
      <c r="A366" s="9"/>
      <c r="B366" s="9" t="s">
        <v>770</v>
      </c>
      <c r="C366" s="9">
        <v>0.66</v>
      </c>
    </row>
    <row r="367" spans="1:3" x14ac:dyDescent="0.2">
      <c r="A367" s="9"/>
      <c r="B367" s="9" t="s">
        <v>771</v>
      </c>
      <c r="C367" s="9">
        <v>0.56000000000000005</v>
      </c>
    </row>
    <row r="368" spans="1:3" x14ac:dyDescent="0.2">
      <c r="A368" s="9"/>
      <c r="B368" s="9" t="s">
        <v>772</v>
      </c>
      <c r="C368" s="9">
        <v>0.55000000000000004</v>
      </c>
    </row>
    <row r="369" spans="1:3" x14ac:dyDescent="0.2">
      <c r="A369" s="9"/>
      <c r="B369" s="9" t="s">
        <v>773</v>
      </c>
      <c r="C369" s="9">
        <v>0.47</v>
      </c>
    </row>
    <row r="370" spans="1:3" x14ac:dyDescent="0.2">
      <c r="A370" s="9"/>
      <c r="B370" s="9" t="s">
        <v>774</v>
      </c>
      <c r="C370" s="9">
        <v>0.48</v>
      </c>
    </row>
    <row r="371" spans="1:3" x14ac:dyDescent="0.2">
      <c r="A371" s="9"/>
      <c r="B371" s="9" t="s">
        <v>775</v>
      </c>
      <c r="C371" s="9">
        <v>0.5</v>
      </c>
    </row>
    <row r="372" spans="1:3" x14ac:dyDescent="0.2">
      <c r="A372" s="9"/>
      <c r="B372" s="9" t="s">
        <v>776</v>
      </c>
      <c r="C372" s="9">
        <v>0.53</v>
      </c>
    </row>
    <row r="373" spans="1:3" x14ac:dyDescent="0.2">
      <c r="A373" s="9"/>
      <c r="B373" s="9" t="s">
        <v>777</v>
      </c>
      <c r="C373" s="9">
        <v>0.65</v>
      </c>
    </row>
    <row r="374" spans="1:3" x14ac:dyDescent="0.2">
      <c r="A374" s="9"/>
      <c r="B374" s="9" t="s">
        <v>778</v>
      </c>
      <c r="C374" s="9">
        <v>0.52</v>
      </c>
    </row>
    <row r="375" spans="1:3" x14ac:dyDescent="0.2">
      <c r="A375" s="9"/>
      <c r="B375" s="9" t="s">
        <v>779</v>
      </c>
      <c r="C375" s="9">
        <v>0.49</v>
      </c>
    </row>
    <row r="376" spans="1:3" x14ac:dyDescent="0.2">
      <c r="A376" s="9"/>
      <c r="B376" s="9" t="s">
        <v>780</v>
      </c>
      <c r="C376" s="9">
        <v>0.55000000000000004</v>
      </c>
    </row>
    <row r="377" spans="1:3" x14ac:dyDescent="0.2">
      <c r="A377" s="9"/>
      <c r="B377" s="9" t="s">
        <v>781</v>
      </c>
      <c r="C377" s="9">
        <v>0.56999999999999995</v>
      </c>
    </row>
    <row r="378" spans="1:3" x14ac:dyDescent="0.2">
      <c r="A378" s="9"/>
      <c r="B378" s="9" t="s">
        <v>782</v>
      </c>
      <c r="C378" s="9">
        <v>0.57999999999999996</v>
      </c>
    </row>
    <row r="379" spans="1:3" x14ac:dyDescent="0.2">
      <c r="A379" s="9"/>
      <c r="B379" s="9" t="s">
        <v>783</v>
      </c>
      <c r="C379" s="9">
        <v>0.6</v>
      </c>
    </row>
    <row r="380" spans="1:3" x14ac:dyDescent="0.2">
      <c r="A380" s="9"/>
      <c r="B380" s="9" t="s">
        <v>784</v>
      </c>
      <c r="C380" s="9">
        <v>0.55000000000000004</v>
      </c>
    </row>
    <row r="381" spans="1:3" x14ac:dyDescent="0.2">
      <c r="A381" s="9"/>
      <c r="B381" s="9" t="s">
        <v>785</v>
      </c>
      <c r="C381" s="9">
        <v>0.59</v>
      </c>
    </row>
    <row r="382" spans="1:3" x14ac:dyDescent="0.2">
      <c r="A382" s="9"/>
      <c r="B382" s="9" t="s">
        <v>786</v>
      </c>
      <c r="C382" s="9">
        <v>0.52</v>
      </c>
    </row>
    <row r="383" spans="1:3" x14ac:dyDescent="0.2">
      <c r="A383" s="9"/>
      <c r="B383" s="9" t="s">
        <v>787</v>
      </c>
      <c r="C383" s="9">
        <v>0.65</v>
      </c>
    </row>
    <row r="384" spans="1:3" x14ac:dyDescent="0.2">
      <c r="A384" s="9"/>
      <c r="B384" s="9" t="s">
        <v>788</v>
      </c>
      <c r="C384" s="9">
        <v>0.6</v>
      </c>
    </row>
    <row r="385" spans="1:3" x14ac:dyDescent="0.2">
      <c r="A385" s="9"/>
      <c r="B385" s="9" t="s">
        <v>316</v>
      </c>
      <c r="C385" s="9">
        <v>0.54</v>
      </c>
    </row>
    <row r="386" spans="1:3" x14ac:dyDescent="0.2">
      <c r="A386" s="9"/>
      <c r="B386" s="9" t="s">
        <v>789</v>
      </c>
      <c r="C386" s="9">
        <v>0.62</v>
      </c>
    </row>
    <row r="387" spans="1:3" x14ac:dyDescent="0.2">
      <c r="A387" s="9"/>
      <c r="B387" s="9" t="s">
        <v>790</v>
      </c>
      <c r="C387" s="9">
        <v>0.57999999999999996</v>
      </c>
    </row>
    <row r="388" spans="1:3" x14ac:dyDescent="0.2">
      <c r="A388" s="9" t="s">
        <v>431</v>
      </c>
      <c r="B388" s="9" t="s">
        <v>791</v>
      </c>
      <c r="C388" s="9">
        <v>0.54</v>
      </c>
    </row>
    <row r="389" spans="1:3" x14ac:dyDescent="0.2">
      <c r="A389" s="9"/>
      <c r="B389" s="9" t="s">
        <v>792</v>
      </c>
      <c r="C389" s="9">
        <v>0.63</v>
      </c>
    </row>
    <row r="390" spans="1:3" x14ac:dyDescent="0.2">
      <c r="A390" s="9"/>
      <c r="B390" s="9" t="s">
        <v>793</v>
      </c>
      <c r="C390" s="9">
        <v>0.75</v>
      </c>
    </row>
    <row r="391" spans="1:3" x14ac:dyDescent="0.2">
      <c r="A391" s="9"/>
      <c r="B391" s="9" t="s">
        <v>794</v>
      </c>
      <c r="C391" s="9">
        <v>0.61</v>
      </c>
    </row>
    <row r="392" spans="1:3" x14ac:dyDescent="0.2">
      <c r="A392" s="9"/>
      <c r="B392" s="9" t="s">
        <v>795</v>
      </c>
      <c r="C392" s="9">
        <v>0.5</v>
      </c>
    </row>
    <row r="393" spans="1:3" x14ac:dyDescent="0.2">
      <c r="A393" s="9"/>
      <c r="B393" s="9" t="s">
        <v>796</v>
      </c>
      <c r="C393" s="9">
        <v>0.69</v>
      </c>
    </row>
    <row r="394" spans="1:3" x14ac:dyDescent="0.2">
      <c r="A394" s="9"/>
      <c r="B394" s="9" t="s">
        <v>797</v>
      </c>
      <c r="C394" s="9">
        <v>0.73</v>
      </c>
    </row>
    <row r="395" spans="1:3" x14ac:dyDescent="0.2">
      <c r="A395" s="9"/>
      <c r="B395" s="9" t="s">
        <v>798</v>
      </c>
      <c r="C395" s="9">
        <v>0.65</v>
      </c>
    </row>
    <row r="396" spans="1:3" x14ac:dyDescent="0.2">
      <c r="A396" s="9"/>
      <c r="B396" s="9" t="s">
        <v>799</v>
      </c>
      <c r="C396" s="9">
        <v>0.65</v>
      </c>
    </row>
    <row r="397" spans="1:3" x14ac:dyDescent="0.2">
      <c r="A397" s="9"/>
      <c r="B397" s="9" t="s">
        <v>800</v>
      </c>
      <c r="C397" s="9">
        <v>0.61</v>
      </c>
    </row>
    <row r="398" spans="1:3" x14ac:dyDescent="0.2">
      <c r="A398" s="9"/>
      <c r="B398" s="9" t="s">
        <v>801</v>
      </c>
      <c r="C398" s="9">
        <v>0.56000000000000005</v>
      </c>
    </row>
    <row r="399" spans="1:3" x14ac:dyDescent="0.2">
      <c r="A399" s="9"/>
      <c r="B399" s="9" t="s">
        <v>802</v>
      </c>
      <c r="C399" s="9">
        <v>0.67</v>
      </c>
    </row>
    <row r="400" spans="1:3" x14ac:dyDescent="0.2">
      <c r="A400" s="9"/>
      <c r="B400" s="9" t="s">
        <v>803</v>
      </c>
      <c r="C400" s="9">
        <v>0.53</v>
      </c>
    </row>
    <row r="401" spans="1:3" x14ac:dyDescent="0.2">
      <c r="A401" s="9"/>
      <c r="B401" s="9" t="s">
        <v>804</v>
      </c>
      <c r="C401" s="9">
        <v>0.61</v>
      </c>
    </row>
    <row r="402" spans="1:3" x14ac:dyDescent="0.2">
      <c r="A402" s="9"/>
      <c r="B402" s="9" t="s">
        <v>805</v>
      </c>
      <c r="C402" s="9">
        <v>0.6</v>
      </c>
    </row>
    <row r="403" spans="1:3" x14ac:dyDescent="0.2">
      <c r="A403" s="9"/>
      <c r="B403" s="9" t="s">
        <v>806</v>
      </c>
      <c r="C403" s="9">
        <v>0.56999999999999995</v>
      </c>
    </row>
    <row r="404" spans="1:3" x14ac:dyDescent="0.2">
      <c r="A404" s="9"/>
      <c r="B404" s="9" t="s">
        <v>807</v>
      </c>
      <c r="C404" s="9">
        <v>0.52</v>
      </c>
    </row>
    <row r="405" spans="1:3" x14ac:dyDescent="0.2">
      <c r="A405" s="9"/>
      <c r="B405" s="9" t="s">
        <v>808</v>
      </c>
      <c r="C405" s="9">
        <v>0.68</v>
      </c>
    </row>
    <row r="406" spans="1:3" x14ac:dyDescent="0.2">
      <c r="A406" s="9"/>
      <c r="B406" s="9" t="s">
        <v>809</v>
      </c>
      <c r="C406" s="9">
        <v>0.61</v>
      </c>
    </row>
    <row r="407" spans="1:3" x14ac:dyDescent="0.2">
      <c r="A407" s="9"/>
      <c r="B407" s="9" t="s">
        <v>810</v>
      </c>
      <c r="C407" s="9">
        <v>0.54</v>
      </c>
    </row>
    <row r="408" spans="1:3" x14ac:dyDescent="0.2">
      <c r="A408" s="9"/>
      <c r="B408" s="9" t="s">
        <v>811</v>
      </c>
      <c r="C408" s="9">
        <v>0.55000000000000004</v>
      </c>
    </row>
    <row r="409" spans="1:3" x14ac:dyDescent="0.2">
      <c r="A409" s="9"/>
      <c r="B409" s="9" t="s">
        <v>812</v>
      </c>
      <c r="C409" s="9">
        <v>0.62</v>
      </c>
    </row>
    <row r="410" spans="1:3" x14ac:dyDescent="0.2">
      <c r="A410" s="9"/>
      <c r="B410" s="9" t="s">
        <v>813</v>
      </c>
      <c r="C410" s="9">
        <v>0.57999999999999996</v>
      </c>
    </row>
    <row r="411" spans="1:3" x14ac:dyDescent="0.2">
      <c r="A411" s="9" t="s">
        <v>432</v>
      </c>
      <c r="B411" s="9" t="s">
        <v>814</v>
      </c>
      <c r="C411" s="9">
        <v>0.43</v>
      </c>
    </row>
    <row r="412" spans="1:3" x14ac:dyDescent="0.2">
      <c r="A412" s="9"/>
      <c r="B412" s="9" t="s">
        <v>815</v>
      </c>
      <c r="C412" s="9">
        <v>0.5</v>
      </c>
    </row>
    <row r="413" spans="1:3" x14ac:dyDescent="0.2">
      <c r="A413" s="9"/>
      <c r="B413" s="9" t="s">
        <v>816</v>
      </c>
      <c r="C413" s="9">
        <v>0.44</v>
      </c>
    </row>
    <row r="414" spans="1:3" x14ac:dyDescent="0.2">
      <c r="A414" s="9"/>
      <c r="B414" s="9" t="s">
        <v>817</v>
      </c>
      <c r="C414" s="9">
        <v>0.45</v>
      </c>
    </row>
    <row r="415" spans="1:3" x14ac:dyDescent="0.2">
      <c r="A415" s="9"/>
      <c r="B415" s="9" t="s">
        <v>818</v>
      </c>
      <c r="C415" s="9">
        <v>0.47</v>
      </c>
    </row>
    <row r="416" spans="1:3" x14ac:dyDescent="0.2">
      <c r="A416" s="9"/>
      <c r="B416" s="9" t="s">
        <v>819</v>
      </c>
      <c r="C416" s="9">
        <v>0.38</v>
      </c>
    </row>
    <row r="417" spans="1:3" x14ac:dyDescent="0.2">
      <c r="A417" s="9"/>
      <c r="B417" s="9" t="s">
        <v>820</v>
      </c>
      <c r="C417" s="9">
        <v>0.48</v>
      </c>
    </row>
    <row r="418" spans="1:3" x14ac:dyDescent="0.2">
      <c r="A418" s="9"/>
      <c r="B418" s="9" t="s">
        <v>821</v>
      </c>
      <c r="C418" s="9">
        <v>0.42</v>
      </c>
    </row>
    <row r="419" spans="1:3" x14ac:dyDescent="0.2">
      <c r="A419" s="9"/>
      <c r="B419" s="9" t="s">
        <v>822</v>
      </c>
      <c r="C419" s="9">
        <v>0.41</v>
      </c>
    </row>
    <row r="420" spans="1:3" x14ac:dyDescent="0.2">
      <c r="A420" s="9"/>
      <c r="B420" s="9" t="s">
        <v>823</v>
      </c>
      <c r="C420" s="9">
        <v>0.47</v>
      </c>
    </row>
    <row r="421" spans="1:3" x14ac:dyDescent="0.2">
      <c r="A421" s="9"/>
      <c r="B421" s="9" t="s">
        <v>824</v>
      </c>
      <c r="C421" s="9">
        <v>0.46</v>
      </c>
    </row>
    <row r="422" spans="1:3" x14ac:dyDescent="0.2">
      <c r="A422" s="9"/>
      <c r="B422" s="9" t="s">
        <v>825</v>
      </c>
      <c r="C422" s="9">
        <v>0.38</v>
      </c>
    </row>
    <row r="423" spans="1:3" x14ac:dyDescent="0.2">
      <c r="A423" s="9" t="s">
        <v>433</v>
      </c>
      <c r="B423" s="9" t="s">
        <v>826</v>
      </c>
      <c r="C423" s="9">
        <v>0.36</v>
      </c>
    </row>
    <row r="424" spans="1:3" x14ac:dyDescent="0.2">
      <c r="A424" s="9"/>
      <c r="B424" s="9" t="s">
        <v>827</v>
      </c>
      <c r="C424" s="9">
        <v>0.39</v>
      </c>
    </row>
    <row r="425" spans="1:3" x14ac:dyDescent="0.2">
      <c r="A425" s="9"/>
      <c r="B425" s="9" t="s">
        <v>828</v>
      </c>
      <c r="C425" s="9">
        <v>0.39</v>
      </c>
    </row>
    <row r="426" spans="1:3" x14ac:dyDescent="0.2">
      <c r="A426" s="9"/>
      <c r="B426" s="9" t="s">
        <v>829</v>
      </c>
      <c r="C426" s="9">
        <v>0.36</v>
      </c>
    </row>
    <row r="427" spans="1:3" x14ac:dyDescent="0.2">
      <c r="A427" s="9"/>
      <c r="B427" s="9" t="s">
        <v>830</v>
      </c>
      <c r="C427" s="9">
        <v>0.37</v>
      </c>
    </row>
    <row r="428" spans="1:3" x14ac:dyDescent="0.2">
      <c r="A428" s="9"/>
      <c r="B428" s="9" t="s">
        <v>831</v>
      </c>
      <c r="C428" s="9">
        <v>0.42</v>
      </c>
    </row>
    <row r="429" spans="1:3" x14ac:dyDescent="0.2">
      <c r="A429" s="9"/>
      <c r="B429" s="9" t="s">
        <v>832</v>
      </c>
      <c r="C429" s="9">
        <v>0.42</v>
      </c>
    </row>
    <row r="430" spans="1:3" x14ac:dyDescent="0.2">
      <c r="A430" s="9"/>
      <c r="B430" s="9" t="s">
        <v>833</v>
      </c>
      <c r="C430" s="9">
        <v>0.42</v>
      </c>
    </row>
    <row r="431" spans="1:3" x14ac:dyDescent="0.2">
      <c r="A431" s="9"/>
      <c r="B431" s="9" t="s">
        <v>834</v>
      </c>
      <c r="C431" s="9">
        <v>0.4</v>
      </c>
    </row>
    <row r="432" spans="1:3" x14ac:dyDescent="0.2">
      <c r="A432" s="9"/>
      <c r="B432" s="9" t="s">
        <v>835</v>
      </c>
      <c r="C432" s="9">
        <v>0.41</v>
      </c>
    </row>
    <row r="433" spans="1:3" x14ac:dyDescent="0.2">
      <c r="A433" s="9"/>
      <c r="B433" s="9" t="s">
        <v>836</v>
      </c>
      <c r="C433" s="9">
        <v>0.35</v>
      </c>
    </row>
    <row r="434" spans="1:3" x14ac:dyDescent="0.2">
      <c r="A434" s="9"/>
      <c r="B434" s="9" t="s">
        <v>837</v>
      </c>
      <c r="C434" s="9">
        <v>0.41</v>
      </c>
    </row>
    <row r="435" spans="1:3" x14ac:dyDescent="0.2">
      <c r="A435" s="9"/>
      <c r="B435" s="9" t="s">
        <v>838</v>
      </c>
      <c r="C435" s="9">
        <v>0.47</v>
      </c>
    </row>
    <row r="436" spans="1:3" x14ac:dyDescent="0.2">
      <c r="A436" s="9"/>
      <c r="B436" s="9" t="s">
        <v>839</v>
      </c>
      <c r="C436" s="9">
        <v>0.37</v>
      </c>
    </row>
    <row r="437" spans="1:3" x14ac:dyDescent="0.2">
      <c r="A437" s="9"/>
      <c r="B437" s="9" t="s">
        <v>840</v>
      </c>
      <c r="C437" s="9">
        <v>0.41</v>
      </c>
    </row>
    <row r="438" spans="1:3" x14ac:dyDescent="0.2">
      <c r="A438" s="9"/>
      <c r="B438" s="9" t="s">
        <v>841</v>
      </c>
      <c r="C438" s="9">
        <v>0.44</v>
      </c>
    </row>
    <row r="439" spans="1:3" x14ac:dyDescent="0.2">
      <c r="A439" s="9" t="s">
        <v>434</v>
      </c>
      <c r="B439" s="9" t="s">
        <v>842</v>
      </c>
      <c r="C439" s="9">
        <v>0.56000000000000005</v>
      </c>
    </row>
    <row r="440" spans="1:3" x14ac:dyDescent="0.2">
      <c r="A440" s="9"/>
      <c r="B440" s="9" t="s">
        <v>843</v>
      </c>
      <c r="C440" s="9">
        <v>0.57999999999999996</v>
      </c>
    </row>
    <row r="441" spans="1:3" x14ac:dyDescent="0.2">
      <c r="A441" s="9"/>
      <c r="B441" s="9" t="s">
        <v>844</v>
      </c>
      <c r="C441" s="9">
        <v>0.57999999999999996</v>
      </c>
    </row>
    <row r="442" spans="1:3" x14ac:dyDescent="0.2">
      <c r="A442" s="9"/>
      <c r="B442" s="9" t="s">
        <v>845</v>
      </c>
      <c r="C442" s="9">
        <v>0.62</v>
      </c>
    </row>
    <row r="443" spans="1:3" x14ac:dyDescent="0.2">
      <c r="A443" s="9"/>
      <c r="B443" s="9" t="s">
        <v>846</v>
      </c>
      <c r="C443" s="9">
        <v>0.59</v>
      </c>
    </row>
    <row r="444" spans="1:3" x14ac:dyDescent="0.2">
      <c r="A444" s="9"/>
      <c r="B444" s="9" t="s">
        <v>847</v>
      </c>
      <c r="C444" s="9">
        <v>0.66</v>
      </c>
    </row>
    <row r="445" spans="1:3" x14ac:dyDescent="0.2">
      <c r="A445" s="9"/>
      <c r="B445" s="9" t="s">
        <v>848</v>
      </c>
      <c r="C445" s="9">
        <v>0.61</v>
      </c>
    </row>
    <row r="446" spans="1:3" x14ac:dyDescent="0.2">
      <c r="A446" s="9"/>
      <c r="B446" s="9" t="s">
        <v>849</v>
      </c>
      <c r="C446" s="9">
        <v>0.52</v>
      </c>
    </row>
    <row r="447" spans="1:3" x14ac:dyDescent="0.2">
      <c r="A447" s="9"/>
      <c r="B447" s="9" t="s">
        <v>850</v>
      </c>
      <c r="C447" s="9">
        <v>0.65</v>
      </c>
    </row>
    <row r="448" spans="1:3" x14ac:dyDescent="0.2">
      <c r="A448" s="9"/>
      <c r="B448" s="9" t="s">
        <v>851</v>
      </c>
      <c r="C448" s="9">
        <v>0.6</v>
      </c>
    </row>
    <row r="449" spans="1:3" x14ac:dyDescent="0.2">
      <c r="A449" s="9"/>
      <c r="B449" s="9" t="s">
        <v>852</v>
      </c>
      <c r="C449" s="9">
        <v>0.66</v>
      </c>
    </row>
    <row r="450" spans="1:3" x14ac:dyDescent="0.2">
      <c r="A450" s="9"/>
      <c r="B450" s="9" t="s">
        <v>853</v>
      </c>
      <c r="C450" s="9">
        <v>0.56999999999999995</v>
      </c>
    </row>
    <row r="451" spans="1:3" x14ac:dyDescent="0.2">
      <c r="A451" s="9"/>
      <c r="B451" s="9" t="s">
        <v>854</v>
      </c>
      <c r="C451" s="9">
        <v>0.56999999999999995</v>
      </c>
    </row>
    <row r="452" spans="1:3" x14ac:dyDescent="0.2">
      <c r="A452" s="9"/>
      <c r="B452" s="9" t="s">
        <v>855</v>
      </c>
      <c r="C452" s="9">
        <v>0.55000000000000004</v>
      </c>
    </row>
    <row r="453" spans="1:3" x14ac:dyDescent="0.2">
      <c r="A453" s="9"/>
      <c r="B453" s="9" t="s">
        <v>856</v>
      </c>
      <c r="C453" s="9">
        <v>0.5</v>
      </c>
    </row>
    <row r="454" spans="1:3" x14ac:dyDescent="0.2">
      <c r="A454" s="9" t="s">
        <v>436</v>
      </c>
      <c r="B454" s="9" t="s">
        <v>857</v>
      </c>
      <c r="C454" s="9">
        <v>0.49</v>
      </c>
    </row>
    <row r="455" spans="1:3" x14ac:dyDescent="0.2">
      <c r="A455" s="9"/>
      <c r="B455" s="9" t="s">
        <v>858</v>
      </c>
      <c r="C455" s="9">
        <v>0.5</v>
      </c>
    </row>
    <row r="456" spans="1:3" x14ac:dyDescent="0.2">
      <c r="A456" s="9"/>
      <c r="B456" s="9" t="s">
        <v>859</v>
      </c>
      <c r="C456" s="9">
        <v>0.46</v>
      </c>
    </row>
    <row r="457" spans="1:3" x14ac:dyDescent="0.2">
      <c r="A457" s="9"/>
      <c r="B457" s="9" t="s">
        <v>860</v>
      </c>
      <c r="C457" s="9">
        <v>0.45</v>
      </c>
    </row>
    <row r="458" spans="1:3" x14ac:dyDescent="0.2">
      <c r="A458" s="9"/>
      <c r="B458" s="9" t="s">
        <v>861</v>
      </c>
      <c r="C458" s="9">
        <v>0.47</v>
      </c>
    </row>
    <row r="459" spans="1:3" x14ac:dyDescent="0.2">
      <c r="A459" s="9" t="s">
        <v>862</v>
      </c>
      <c r="B459" s="9" t="s">
        <v>863</v>
      </c>
      <c r="C459" s="9">
        <v>0.6</v>
      </c>
    </row>
    <row r="460" spans="1:3" x14ac:dyDescent="0.2">
      <c r="A460" s="9"/>
      <c r="B460" s="9" t="s">
        <v>864</v>
      </c>
      <c r="C460" s="9">
        <v>0.57999999999999996</v>
      </c>
    </row>
    <row r="461" spans="1:3" x14ac:dyDescent="0.2">
      <c r="A461" s="9"/>
      <c r="B461" s="9" t="s">
        <v>865</v>
      </c>
      <c r="C461" s="9">
        <v>0.66</v>
      </c>
    </row>
    <row r="462" spans="1:3" x14ac:dyDescent="0.2">
      <c r="A462" s="9"/>
      <c r="B462" s="9" t="s">
        <v>866</v>
      </c>
      <c r="C462" s="9">
        <v>0.49</v>
      </c>
    </row>
    <row r="463" spans="1:3" x14ac:dyDescent="0.2">
      <c r="A463" s="9"/>
      <c r="B463" s="9" t="s">
        <v>867</v>
      </c>
      <c r="C463" s="9">
        <v>0.55000000000000004</v>
      </c>
    </row>
    <row r="464" spans="1:3" x14ac:dyDescent="0.2">
      <c r="A464" s="9"/>
      <c r="B464" s="9" t="s">
        <v>868</v>
      </c>
      <c r="C464" s="9">
        <v>0.59</v>
      </c>
    </row>
    <row r="465" spans="1:3" x14ac:dyDescent="0.2">
      <c r="A465" s="9"/>
      <c r="B465" s="9" t="s">
        <v>869</v>
      </c>
      <c r="C465" s="9">
        <v>0.61</v>
      </c>
    </row>
    <row r="466" spans="1:3" x14ac:dyDescent="0.2">
      <c r="A466" s="9"/>
      <c r="B466" s="9" t="s">
        <v>870</v>
      </c>
      <c r="C466" s="9">
        <v>0.54</v>
      </c>
    </row>
    <row r="467" spans="1:3" x14ac:dyDescent="0.2">
      <c r="A467" s="9"/>
      <c r="B467" s="9" t="s">
        <v>871</v>
      </c>
      <c r="C467" s="9">
        <v>0.52</v>
      </c>
    </row>
    <row r="468" spans="1:3" x14ac:dyDescent="0.2">
      <c r="A468" s="9"/>
      <c r="B468" s="9" t="s">
        <v>872</v>
      </c>
      <c r="C468" s="9">
        <v>0.52</v>
      </c>
    </row>
    <row r="469" spans="1:3" x14ac:dyDescent="0.2">
      <c r="A469" s="9"/>
      <c r="B469" s="9" t="s">
        <v>873</v>
      </c>
      <c r="C469" s="9">
        <v>0.6</v>
      </c>
    </row>
    <row r="470" spans="1:3" x14ac:dyDescent="0.2">
      <c r="A470" s="9"/>
      <c r="B470" s="9" t="s">
        <v>874</v>
      </c>
      <c r="C470" s="9">
        <v>0.53</v>
      </c>
    </row>
    <row r="471" spans="1:3" x14ac:dyDescent="0.2">
      <c r="A471" s="9"/>
      <c r="B471" s="9" t="s">
        <v>875</v>
      </c>
      <c r="C471" s="9">
        <v>0.59</v>
      </c>
    </row>
    <row r="472" spans="1:3" x14ac:dyDescent="0.2">
      <c r="A472" s="9"/>
      <c r="B472" s="9" t="s">
        <v>876</v>
      </c>
      <c r="C472" s="9">
        <v>0.5</v>
      </c>
    </row>
    <row r="473" spans="1:3" x14ac:dyDescent="0.2">
      <c r="A473" s="9"/>
      <c r="B473" s="9" t="s">
        <v>877</v>
      </c>
      <c r="C473" s="9">
        <v>0.59</v>
      </c>
    </row>
    <row r="474" spans="1:3" x14ac:dyDescent="0.2">
      <c r="A474" s="9" t="s">
        <v>438</v>
      </c>
      <c r="B474" s="9" t="s">
        <v>878</v>
      </c>
      <c r="C474" s="9">
        <v>0.61</v>
      </c>
    </row>
    <row r="475" spans="1:3" x14ac:dyDescent="0.2">
      <c r="A475" s="9"/>
      <c r="B475" s="9" t="s">
        <v>879</v>
      </c>
      <c r="C475" s="9">
        <v>0.56000000000000005</v>
      </c>
    </row>
    <row r="476" spans="1:3" x14ac:dyDescent="0.2">
      <c r="A476" s="9"/>
      <c r="B476" s="9" t="s">
        <v>880</v>
      </c>
      <c r="C476" s="9">
        <v>0.55000000000000004</v>
      </c>
    </row>
    <row r="477" spans="1:3" x14ac:dyDescent="0.2">
      <c r="A477" s="9"/>
      <c r="B477" s="9" t="s">
        <v>881</v>
      </c>
      <c r="C477" s="9">
        <v>0.53</v>
      </c>
    </row>
    <row r="478" spans="1:3" x14ac:dyDescent="0.2">
      <c r="A478" s="9"/>
      <c r="B478" s="9" t="s">
        <v>882</v>
      </c>
      <c r="C478" s="9">
        <v>0.57999999999999996</v>
      </c>
    </row>
    <row r="479" spans="1:3" x14ac:dyDescent="0.2">
      <c r="A479" s="9"/>
      <c r="B479" s="9" t="s">
        <v>883</v>
      </c>
      <c r="C479" s="9">
        <v>0.66</v>
      </c>
    </row>
    <row r="480" spans="1:3" x14ac:dyDescent="0.2">
      <c r="A480" s="9"/>
      <c r="B480" s="9" t="s">
        <v>884</v>
      </c>
      <c r="C480" s="9">
        <v>0.56000000000000005</v>
      </c>
    </row>
    <row r="481" spans="1:3" x14ac:dyDescent="0.2">
      <c r="A481" s="9"/>
      <c r="B481" s="9" t="s">
        <v>885</v>
      </c>
      <c r="C481" s="9">
        <v>0.6</v>
      </c>
    </row>
    <row r="482" spans="1:3" x14ac:dyDescent="0.2">
      <c r="A482" s="9"/>
      <c r="B482" s="9" t="s">
        <v>886</v>
      </c>
      <c r="C482" s="9">
        <v>0.56999999999999995</v>
      </c>
    </row>
    <row r="483" spans="1:3" x14ac:dyDescent="0.2">
      <c r="A483" s="9"/>
      <c r="B483" s="9" t="s">
        <v>887</v>
      </c>
      <c r="C483" s="9">
        <v>0.64</v>
      </c>
    </row>
    <row r="484" spans="1:3" x14ac:dyDescent="0.2">
      <c r="A484" s="9"/>
      <c r="B484" s="9" t="s">
        <v>888</v>
      </c>
      <c r="C484" s="9">
        <v>0.6</v>
      </c>
    </row>
    <row r="485" spans="1:3" x14ac:dyDescent="0.2">
      <c r="A485" s="9"/>
      <c r="B485" s="9" t="s">
        <v>889</v>
      </c>
      <c r="C485" s="9">
        <v>0.6</v>
      </c>
    </row>
    <row r="486" spans="1:3" x14ac:dyDescent="0.2">
      <c r="A486" s="9"/>
      <c r="B486" s="9" t="s">
        <v>890</v>
      </c>
      <c r="C486" s="9">
        <v>0.67</v>
      </c>
    </row>
    <row r="487" spans="1:3" x14ac:dyDescent="0.2">
      <c r="A487" s="9"/>
      <c r="B487" s="9" t="s">
        <v>891</v>
      </c>
      <c r="C487" s="9">
        <v>0.59</v>
      </c>
    </row>
    <row r="488" spans="1:3" x14ac:dyDescent="0.2">
      <c r="A488" s="9"/>
      <c r="B488" s="9" t="s">
        <v>892</v>
      </c>
      <c r="C488" s="9">
        <v>0.5</v>
      </c>
    </row>
    <row r="489" spans="1:3" x14ac:dyDescent="0.2">
      <c r="A489" s="9"/>
      <c r="B489" s="9" t="s">
        <v>893</v>
      </c>
      <c r="C489" s="9">
        <v>0.56000000000000005</v>
      </c>
    </row>
    <row r="490" spans="1:3" x14ac:dyDescent="0.2">
      <c r="A490" s="9"/>
      <c r="B490" s="9" t="s">
        <v>894</v>
      </c>
      <c r="C490" s="9">
        <v>0.62</v>
      </c>
    </row>
    <row r="491" spans="1:3" x14ac:dyDescent="0.2">
      <c r="A491" s="9"/>
      <c r="B491" s="9" t="s">
        <v>895</v>
      </c>
      <c r="C491" s="9">
        <v>0.54</v>
      </c>
    </row>
    <row r="492" spans="1:3" x14ac:dyDescent="0.2">
      <c r="A492" s="9"/>
      <c r="B492" s="9" t="s">
        <v>896</v>
      </c>
      <c r="C492" s="9">
        <v>0.53</v>
      </c>
    </row>
    <row r="493" spans="1:3" x14ac:dyDescent="0.2">
      <c r="A493" s="9"/>
      <c r="B493" s="9" t="s">
        <v>897</v>
      </c>
      <c r="C493" s="9">
        <v>0.63</v>
      </c>
    </row>
    <row r="494" spans="1:3" x14ac:dyDescent="0.2">
      <c r="A494" s="9"/>
      <c r="B494" s="9" t="s">
        <v>898</v>
      </c>
      <c r="C494" s="9">
        <v>0.53</v>
      </c>
    </row>
    <row r="495" spans="1:3" x14ac:dyDescent="0.2">
      <c r="A495" s="9"/>
      <c r="B495" s="9" t="s">
        <v>899</v>
      </c>
      <c r="C495" s="9">
        <v>0.56999999999999995</v>
      </c>
    </row>
    <row r="496" spans="1:3" x14ac:dyDescent="0.2">
      <c r="A496" s="9"/>
      <c r="B496" s="9" t="s">
        <v>900</v>
      </c>
      <c r="C496" s="9">
        <v>0.55000000000000004</v>
      </c>
    </row>
    <row r="497" spans="1:3" x14ac:dyDescent="0.2">
      <c r="A497" s="9"/>
      <c r="B497" s="9" t="s">
        <v>901</v>
      </c>
      <c r="C497" s="9">
        <v>0.61</v>
      </c>
    </row>
    <row r="498" spans="1:3" x14ac:dyDescent="0.2">
      <c r="A498" s="9"/>
      <c r="B498" s="9" t="s">
        <v>902</v>
      </c>
      <c r="C498" s="9">
        <v>0.56999999999999995</v>
      </c>
    </row>
    <row r="499" spans="1:3" x14ac:dyDescent="0.2">
      <c r="A499" s="9"/>
      <c r="B499" s="9" t="s">
        <v>903</v>
      </c>
      <c r="C499" s="9">
        <v>0.6</v>
      </c>
    </row>
    <row r="500" spans="1:3" x14ac:dyDescent="0.2">
      <c r="A500" s="9"/>
      <c r="B500" s="9" t="s">
        <v>904</v>
      </c>
      <c r="C500" s="9">
        <v>0.59</v>
      </c>
    </row>
    <row r="501" spans="1:3" x14ac:dyDescent="0.2">
      <c r="A501" s="9"/>
      <c r="B501" s="9" t="s">
        <v>905</v>
      </c>
      <c r="C501" s="9">
        <v>0.59</v>
      </c>
    </row>
    <row r="502" spans="1:3" x14ac:dyDescent="0.2">
      <c r="A502" s="9"/>
      <c r="B502" s="9" t="s">
        <v>906</v>
      </c>
      <c r="C502" s="9">
        <v>0.65</v>
      </c>
    </row>
    <row r="503" spans="1:3" x14ac:dyDescent="0.2">
      <c r="A503" s="9"/>
      <c r="B503" s="9" t="s">
        <v>907</v>
      </c>
      <c r="C503" s="9">
        <v>0.51</v>
      </c>
    </row>
    <row r="504" spans="1:3" x14ac:dyDescent="0.2">
      <c r="A504" s="9"/>
      <c r="B504" s="9" t="s">
        <v>908</v>
      </c>
      <c r="C504" s="9">
        <v>0.61</v>
      </c>
    </row>
    <row r="505" spans="1:3" x14ac:dyDescent="0.2">
      <c r="A505" s="9" t="s">
        <v>909</v>
      </c>
      <c r="B505" s="9" t="s">
        <v>910</v>
      </c>
      <c r="C505" s="9">
        <v>0.57999999999999996</v>
      </c>
    </row>
    <row r="506" spans="1:3" x14ac:dyDescent="0.2">
      <c r="A506" s="9"/>
      <c r="B506" s="9" t="s">
        <v>911</v>
      </c>
      <c r="C506" s="9">
        <v>0.55000000000000004</v>
      </c>
    </row>
    <row r="507" spans="1:3" x14ac:dyDescent="0.2">
      <c r="A507" s="9"/>
      <c r="B507" s="9" t="s">
        <v>912</v>
      </c>
      <c r="C507" s="9">
        <v>0.67</v>
      </c>
    </row>
    <row r="508" spans="1:3" x14ac:dyDescent="0.2">
      <c r="A508" s="9"/>
      <c r="B508" s="9" t="s">
        <v>913</v>
      </c>
      <c r="C508" s="9">
        <v>0.55000000000000004</v>
      </c>
    </row>
    <row r="509" spans="1:3" x14ac:dyDescent="0.2">
      <c r="A509" s="9"/>
      <c r="B509" s="9" t="s">
        <v>914</v>
      </c>
      <c r="C509" s="9">
        <v>0.62</v>
      </c>
    </row>
    <row r="510" spans="1:3" x14ac:dyDescent="0.2">
      <c r="A510" s="9"/>
      <c r="B510" s="9" t="s">
        <v>915</v>
      </c>
      <c r="C510" s="9">
        <v>0.62</v>
      </c>
    </row>
    <row r="511" spans="1:3" x14ac:dyDescent="0.2">
      <c r="A511" s="9"/>
      <c r="B511" s="9" t="s">
        <v>916</v>
      </c>
      <c r="C511" s="9">
        <v>0.62</v>
      </c>
    </row>
    <row r="512" spans="1:3" x14ac:dyDescent="0.2">
      <c r="A512" s="9"/>
      <c r="B512" s="9" t="s">
        <v>917</v>
      </c>
      <c r="C512" s="9">
        <v>0.56999999999999995</v>
      </c>
    </row>
    <row r="513" spans="1:3" x14ac:dyDescent="0.2">
      <c r="A513" s="9"/>
      <c r="B513" s="9" t="s">
        <v>918</v>
      </c>
      <c r="C513" s="9">
        <v>0.54</v>
      </c>
    </row>
    <row r="514" spans="1:3" x14ac:dyDescent="0.2">
      <c r="A514" s="9"/>
      <c r="B514" s="9" t="s">
        <v>919</v>
      </c>
      <c r="C514" s="9">
        <v>0.61</v>
      </c>
    </row>
    <row r="515" spans="1:3" x14ac:dyDescent="0.2">
      <c r="A515" s="9"/>
      <c r="B515" s="9" t="s">
        <v>920</v>
      </c>
      <c r="C515" s="9">
        <v>0.56999999999999995</v>
      </c>
    </row>
    <row r="516" spans="1:3" x14ac:dyDescent="0.2">
      <c r="A516" s="9"/>
      <c r="B516" s="9" t="s">
        <v>921</v>
      </c>
      <c r="C516" s="9">
        <v>0.67</v>
      </c>
    </row>
    <row r="517" spans="1:3" x14ac:dyDescent="0.2">
      <c r="A517" s="9"/>
      <c r="B517" s="9" t="s">
        <v>922</v>
      </c>
      <c r="C517" s="9">
        <v>0.63</v>
      </c>
    </row>
    <row r="518" spans="1:3" x14ac:dyDescent="0.2">
      <c r="A518" s="9"/>
      <c r="B518" s="9" t="s">
        <v>923</v>
      </c>
      <c r="C518" s="9">
        <v>0.7</v>
      </c>
    </row>
    <row r="519" spans="1:3" x14ac:dyDescent="0.2">
      <c r="A519" s="9"/>
      <c r="B519" s="9" t="s">
        <v>924</v>
      </c>
      <c r="C519" s="9">
        <v>0.57999999999999996</v>
      </c>
    </row>
    <row r="520" spans="1:3" x14ac:dyDescent="0.2">
      <c r="A520" s="9"/>
      <c r="B520" s="9" t="s">
        <v>925</v>
      </c>
      <c r="C520" s="9">
        <v>0.63</v>
      </c>
    </row>
    <row r="521" spans="1:3" x14ac:dyDescent="0.2">
      <c r="A521" s="9"/>
      <c r="B521" s="9" t="s">
        <v>926</v>
      </c>
      <c r="C521" s="9">
        <v>0.66</v>
      </c>
    </row>
    <row r="522" spans="1:3" x14ac:dyDescent="0.2">
      <c r="A522" s="9"/>
      <c r="B522" s="9" t="s">
        <v>927</v>
      </c>
      <c r="C522" s="9">
        <v>0.56999999999999995</v>
      </c>
    </row>
    <row r="523" spans="1:3" x14ac:dyDescent="0.2">
      <c r="A523" s="9"/>
      <c r="B523" s="9" t="s">
        <v>928</v>
      </c>
      <c r="C523" s="9">
        <v>0.64</v>
      </c>
    </row>
    <row r="524" spans="1:3" x14ac:dyDescent="0.2">
      <c r="A524" s="9"/>
      <c r="B524" s="9" t="s">
        <v>929</v>
      </c>
      <c r="C524" s="9">
        <v>0.57999999999999996</v>
      </c>
    </row>
    <row r="525" spans="1:3" x14ac:dyDescent="0.2">
      <c r="A525" s="9"/>
      <c r="B525" s="9" t="s">
        <v>930</v>
      </c>
      <c r="C525" s="9">
        <v>0.61</v>
      </c>
    </row>
    <row r="526" spans="1:3" x14ac:dyDescent="0.2">
      <c r="A526" s="9"/>
      <c r="B526" s="9" t="s">
        <v>931</v>
      </c>
      <c r="C526" s="9">
        <v>0.62</v>
      </c>
    </row>
    <row r="527" spans="1:3" x14ac:dyDescent="0.2">
      <c r="A527" s="9"/>
      <c r="B527" s="9" t="s">
        <v>932</v>
      </c>
      <c r="C527" s="9">
        <v>0.6</v>
      </c>
    </row>
    <row r="528" spans="1:3" x14ac:dyDescent="0.2">
      <c r="A528" s="9"/>
      <c r="B528" s="9" t="s">
        <v>933</v>
      </c>
      <c r="C528" s="9">
        <v>0.68</v>
      </c>
    </row>
    <row r="529" spans="1:3" x14ac:dyDescent="0.2">
      <c r="A529" s="9"/>
      <c r="B529" s="9" t="s">
        <v>934</v>
      </c>
      <c r="C529" s="9">
        <v>0.64</v>
      </c>
    </row>
    <row r="530" spans="1:3" x14ac:dyDescent="0.2">
      <c r="A530" s="9"/>
      <c r="B530" s="9" t="s">
        <v>935</v>
      </c>
      <c r="C530" s="9">
        <v>0.6</v>
      </c>
    </row>
    <row r="531" spans="1:3" x14ac:dyDescent="0.2">
      <c r="A531" s="9"/>
      <c r="B531" s="9" t="s">
        <v>936</v>
      </c>
      <c r="C531" s="9">
        <v>0.65</v>
      </c>
    </row>
    <row r="532" spans="1:3" x14ac:dyDescent="0.2">
      <c r="A532" s="9"/>
      <c r="B532" s="9" t="s">
        <v>937</v>
      </c>
      <c r="C532" s="9">
        <v>0.53</v>
      </c>
    </row>
    <row r="533" spans="1:3" x14ac:dyDescent="0.2">
      <c r="A533" s="9"/>
      <c r="B533" s="9" t="s">
        <v>938</v>
      </c>
      <c r="C533" s="9">
        <v>0.57999999999999996</v>
      </c>
    </row>
    <row r="534" spans="1:3" x14ac:dyDescent="0.2">
      <c r="A534" s="9"/>
      <c r="B534" s="9" t="s">
        <v>939</v>
      </c>
      <c r="C534" s="9">
        <v>0.61</v>
      </c>
    </row>
    <row r="535" spans="1:3" x14ac:dyDescent="0.2">
      <c r="A535" s="9"/>
      <c r="B535" s="9" t="s">
        <v>940</v>
      </c>
      <c r="C535" s="9">
        <v>0.66</v>
      </c>
    </row>
    <row r="536" spans="1:3" x14ac:dyDescent="0.2">
      <c r="A536" s="9"/>
      <c r="B536" s="9" t="s">
        <v>941</v>
      </c>
      <c r="C536" s="9">
        <v>0.57999999999999996</v>
      </c>
    </row>
    <row r="537" spans="1:3" x14ac:dyDescent="0.2">
      <c r="A537" s="9"/>
      <c r="B537" s="9" t="s">
        <v>942</v>
      </c>
      <c r="C537" s="9">
        <v>0.63</v>
      </c>
    </row>
    <row r="538" spans="1:3" x14ac:dyDescent="0.2">
      <c r="A538" s="9"/>
      <c r="B538" s="9" t="s">
        <v>943</v>
      </c>
      <c r="C538" s="9">
        <v>0.54</v>
      </c>
    </row>
    <row r="539" spans="1:3" x14ac:dyDescent="0.2">
      <c r="A539" s="9"/>
      <c r="B539" s="9" t="s">
        <v>944</v>
      </c>
      <c r="C539" s="9">
        <v>0.66</v>
      </c>
    </row>
    <row r="540" spans="1:3" x14ac:dyDescent="0.2">
      <c r="A540" s="9"/>
      <c r="B540" s="9" t="s">
        <v>945</v>
      </c>
      <c r="C540" s="9">
        <v>0.61</v>
      </c>
    </row>
    <row r="541" spans="1:3" x14ac:dyDescent="0.2">
      <c r="A541" s="9"/>
      <c r="B541" s="9" t="s">
        <v>946</v>
      </c>
      <c r="C541" s="9">
        <v>0.61</v>
      </c>
    </row>
    <row r="542" spans="1:3" x14ac:dyDescent="0.2">
      <c r="A542" s="9"/>
      <c r="B542" s="9" t="s">
        <v>947</v>
      </c>
      <c r="C542" s="9">
        <v>0.59</v>
      </c>
    </row>
    <row r="543" spans="1:3" x14ac:dyDescent="0.2">
      <c r="A543" s="9"/>
      <c r="B543" s="9" t="s">
        <v>948</v>
      </c>
      <c r="C543" s="9">
        <v>0.65</v>
      </c>
    </row>
    <row r="544" spans="1:3" x14ac:dyDescent="0.2">
      <c r="A544" s="9"/>
      <c r="B544" s="9" t="s">
        <v>949</v>
      </c>
      <c r="C544" s="9">
        <v>0.63</v>
      </c>
    </row>
    <row r="545" spans="1:3" x14ac:dyDescent="0.2">
      <c r="A545" s="9"/>
      <c r="B545" s="9" t="s">
        <v>950</v>
      </c>
      <c r="C545" s="9">
        <v>0.55000000000000004</v>
      </c>
    </row>
    <row r="546" spans="1:3" x14ac:dyDescent="0.2">
      <c r="A546" s="9"/>
      <c r="B546" s="9" t="s">
        <v>951</v>
      </c>
      <c r="C546" s="9">
        <v>0.64</v>
      </c>
    </row>
    <row r="547" spans="1:3" x14ac:dyDescent="0.2">
      <c r="A547" s="9"/>
      <c r="B547" s="9" t="s">
        <v>952</v>
      </c>
      <c r="C547" s="9">
        <v>0.7</v>
      </c>
    </row>
    <row r="548" spans="1:3" x14ac:dyDescent="0.2">
      <c r="A548" s="9"/>
      <c r="B548" s="9" t="s">
        <v>953</v>
      </c>
      <c r="C548" s="9">
        <v>0.65</v>
      </c>
    </row>
    <row r="549" spans="1:3" x14ac:dyDescent="0.2">
      <c r="A549" s="9"/>
      <c r="B549" s="9" t="s">
        <v>954</v>
      </c>
      <c r="C549" s="9">
        <v>0.62</v>
      </c>
    </row>
    <row r="550" spans="1:3" x14ac:dyDescent="0.2">
      <c r="A550" s="9"/>
      <c r="B550" s="9" t="s">
        <v>955</v>
      </c>
      <c r="C550" s="9">
        <v>0.51</v>
      </c>
    </row>
    <row r="551" spans="1:3" x14ac:dyDescent="0.2">
      <c r="A551" s="9"/>
      <c r="B551" s="9" t="s">
        <v>956</v>
      </c>
      <c r="C551" s="9">
        <v>0.59</v>
      </c>
    </row>
    <row r="552" spans="1:3" x14ac:dyDescent="0.2">
      <c r="A552" s="9"/>
      <c r="B552" s="9" t="s">
        <v>957</v>
      </c>
      <c r="C552" s="9">
        <v>0.56999999999999995</v>
      </c>
    </row>
    <row r="553" spans="1:3" x14ac:dyDescent="0.2">
      <c r="A553" s="9"/>
      <c r="B553" s="9" t="s">
        <v>958</v>
      </c>
      <c r="C553" s="9">
        <v>0.66</v>
      </c>
    </row>
    <row r="554" spans="1:3" x14ac:dyDescent="0.2">
      <c r="A554" s="9"/>
      <c r="B554" s="9" t="s">
        <v>959</v>
      </c>
      <c r="C554" s="9">
        <v>0.6</v>
      </c>
    </row>
    <row r="555" spans="1:3" x14ac:dyDescent="0.2">
      <c r="A555" s="9"/>
      <c r="B555" s="9" t="s">
        <v>960</v>
      </c>
      <c r="C555" s="9">
        <v>0.66</v>
      </c>
    </row>
    <row r="556" spans="1:3" x14ac:dyDescent="0.2">
      <c r="A556" s="9"/>
      <c r="B556" s="9" t="s">
        <v>961</v>
      </c>
      <c r="C556" s="9">
        <v>0.59</v>
      </c>
    </row>
    <row r="557" spans="1:3" x14ac:dyDescent="0.2">
      <c r="A557" s="9"/>
      <c r="B557" s="9" t="s">
        <v>962</v>
      </c>
      <c r="C557" s="9">
        <v>0.51</v>
      </c>
    </row>
    <row r="558" spans="1:3" x14ac:dyDescent="0.2">
      <c r="A558" s="9"/>
      <c r="B558" s="9" t="s">
        <v>963</v>
      </c>
      <c r="C558" s="9">
        <v>0.67</v>
      </c>
    </row>
    <row r="559" spans="1:3" x14ac:dyDescent="0.2">
      <c r="A559" s="9" t="s">
        <v>440</v>
      </c>
      <c r="B559" s="9" t="s">
        <v>964</v>
      </c>
      <c r="C559" s="9">
        <v>0.42</v>
      </c>
    </row>
    <row r="560" spans="1:3" x14ac:dyDescent="0.2">
      <c r="A560" s="9"/>
      <c r="B560" s="9" t="s">
        <v>965</v>
      </c>
      <c r="C560" s="9">
        <v>0.4</v>
      </c>
    </row>
    <row r="561" spans="1:3" x14ac:dyDescent="0.2">
      <c r="A561" s="9"/>
      <c r="B561" s="9" t="s">
        <v>966</v>
      </c>
      <c r="C561" s="9">
        <v>0.44</v>
      </c>
    </row>
    <row r="562" spans="1:3" x14ac:dyDescent="0.2">
      <c r="A562" s="9"/>
      <c r="B562" s="9" t="s">
        <v>967</v>
      </c>
      <c r="C562" s="9">
        <v>0.41</v>
      </c>
    </row>
    <row r="563" spans="1:3" x14ac:dyDescent="0.2">
      <c r="A563" s="9"/>
      <c r="B563" s="9" t="s">
        <v>968</v>
      </c>
      <c r="C563" s="9">
        <v>0.38</v>
      </c>
    </row>
    <row r="564" spans="1:3" x14ac:dyDescent="0.2">
      <c r="A564" s="9"/>
      <c r="B564" s="9" t="s">
        <v>969</v>
      </c>
      <c r="C564" s="9">
        <v>0.35</v>
      </c>
    </row>
    <row r="565" spans="1:3" x14ac:dyDescent="0.2">
      <c r="A565" s="9"/>
      <c r="B565" s="9" t="s">
        <v>970</v>
      </c>
      <c r="C565" s="9">
        <v>0.42</v>
      </c>
    </row>
    <row r="566" spans="1:3" x14ac:dyDescent="0.2">
      <c r="A566" s="9"/>
      <c r="B566" s="9" t="s">
        <v>971</v>
      </c>
      <c r="C566" s="9">
        <v>0.38</v>
      </c>
    </row>
    <row r="567" spans="1:3" x14ac:dyDescent="0.2">
      <c r="A567" s="9"/>
      <c r="B567" s="9" t="s">
        <v>972</v>
      </c>
      <c r="C567" s="9">
        <v>0.36</v>
      </c>
    </row>
    <row r="568" spans="1:3" x14ac:dyDescent="0.2">
      <c r="A568" s="9"/>
      <c r="B568" s="9" t="s">
        <v>973</v>
      </c>
      <c r="C568" s="9">
        <v>0.41</v>
      </c>
    </row>
    <row r="569" spans="1:3" x14ac:dyDescent="0.2">
      <c r="A569" s="9"/>
      <c r="B569" s="9" t="s">
        <v>974</v>
      </c>
      <c r="C569" s="9">
        <v>0.34</v>
      </c>
    </row>
    <row r="570" spans="1:3" x14ac:dyDescent="0.2">
      <c r="A570" s="9"/>
      <c r="B570" s="9" t="s">
        <v>975</v>
      </c>
      <c r="C570" s="9">
        <v>0.36</v>
      </c>
    </row>
    <row r="571" spans="1:3" x14ac:dyDescent="0.2">
      <c r="A571" s="9"/>
      <c r="B571" s="9" t="s">
        <v>976</v>
      </c>
      <c r="C571" s="9">
        <v>0.43</v>
      </c>
    </row>
    <row r="572" spans="1:3" x14ac:dyDescent="0.2">
      <c r="A572" s="9" t="s">
        <v>441</v>
      </c>
      <c r="B572" s="9" t="s">
        <v>977</v>
      </c>
      <c r="C572" s="9">
        <v>0.47</v>
      </c>
    </row>
    <row r="573" spans="1:3" x14ac:dyDescent="0.2">
      <c r="A573" s="9"/>
      <c r="B573" s="9" t="s">
        <v>978</v>
      </c>
      <c r="C573" s="9">
        <v>0.54</v>
      </c>
    </row>
    <row r="574" spans="1:3" x14ac:dyDescent="0.2">
      <c r="A574" s="9"/>
      <c r="B574" s="9" t="s">
        <v>979</v>
      </c>
      <c r="C574" s="9">
        <v>0.45</v>
      </c>
    </row>
    <row r="575" spans="1:3" x14ac:dyDescent="0.2">
      <c r="A575" s="9"/>
      <c r="B575" s="9" t="s">
        <v>980</v>
      </c>
      <c r="C575" s="9">
        <v>0.44</v>
      </c>
    </row>
    <row r="576" spans="1:3" x14ac:dyDescent="0.2">
      <c r="A576" s="9"/>
      <c r="B576" s="9" t="s">
        <v>981</v>
      </c>
      <c r="C576" s="9">
        <v>0.46</v>
      </c>
    </row>
    <row r="577" spans="1:3" x14ac:dyDescent="0.2">
      <c r="A577" s="9"/>
      <c r="B577" s="9" t="s">
        <v>982</v>
      </c>
      <c r="C577" s="9">
        <v>0.53</v>
      </c>
    </row>
    <row r="578" spans="1:3" x14ac:dyDescent="0.2">
      <c r="A578" s="9"/>
      <c r="B578" s="9" t="s">
        <v>983</v>
      </c>
      <c r="C578" s="9">
        <v>0.45</v>
      </c>
    </row>
    <row r="579" spans="1:3" x14ac:dyDescent="0.2">
      <c r="A579" s="9"/>
      <c r="B579" s="9" t="s">
        <v>984</v>
      </c>
      <c r="C579" s="9">
        <v>0.51</v>
      </c>
    </row>
    <row r="580" spans="1:3" x14ac:dyDescent="0.2">
      <c r="A580" s="9"/>
      <c r="B580" s="9" t="s">
        <v>985</v>
      </c>
      <c r="C580" s="9">
        <v>0.6</v>
      </c>
    </row>
    <row r="581" spans="1:3" x14ac:dyDescent="0.2">
      <c r="A581" s="9"/>
      <c r="B581" s="9" t="s">
        <v>986</v>
      </c>
      <c r="C581" s="9">
        <v>0.53</v>
      </c>
    </row>
    <row r="582" spans="1:3" x14ac:dyDescent="0.2">
      <c r="A582" s="9"/>
      <c r="B582" s="9" t="s">
        <v>987</v>
      </c>
      <c r="C582" s="9">
        <v>0.43</v>
      </c>
    </row>
    <row r="583" spans="1:3" x14ac:dyDescent="0.2">
      <c r="A583" s="9"/>
      <c r="B583" s="9" t="s">
        <v>988</v>
      </c>
      <c r="C583" s="9">
        <v>0.53</v>
      </c>
    </row>
    <row r="584" spans="1:3" x14ac:dyDescent="0.2">
      <c r="A584" s="9"/>
      <c r="B584" s="9" t="s">
        <v>989</v>
      </c>
      <c r="C584" s="9">
        <v>0.56000000000000005</v>
      </c>
    </row>
    <row r="585" spans="1:3" x14ac:dyDescent="0.2">
      <c r="A585" s="9"/>
      <c r="B585" s="9" t="s">
        <v>990</v>
      </c>
      <c r="C585" s="9">
        <v>0.54</v>
      </c>
    </row>
    <row r="586" spans="1:3" x14ac:dyDescent="0.2">
      <c r="A586" s="9"/>
      <c r="B586" s="9" t="s">
        <v>991</v>
      </c>
      <c r="C586" s="9">
        <v>0.48</v>
      </c>
    </row>
    <row r="587" spans="1:3" x14ac:dyDescent="0.2">
      <c r="A587" s="9"/>
      <c r="B587" s="9" t="s">
        <v>992</v>
      </c>
      <c r="C587" s="9">
        <v>0.52</v>
      </c>
    </row>
    <row r="588" spans="1:3" x14ac:dyDescent="0.2">
      <c r="A588" s="9"/>
      <c r="B588" s="9" t="s">
        <v>993</v>
      </c>
      <c r="C588" s="9">
        <v>0.53</v>
      </c>
    </row>
    <row r="589" spans="1:3" x14ac:dyDescent="0.2">
      <c r="A589" s="9" t="s">
        <v>314</v>
      </c>
      <c r="B589" s="9" t="s">
        <v>393</v>
      </c>
      <c r="C589" s="9">
        <v>0.66</v>
      </c>
    </row>
    <row r="590" spans="1:3" x14ac:dyDescent="0.2">
      <c r="A590" s="9"/>
      <c r="B590" s="9" t="s">
        <v>994</v>
      </c>
      <c r="C590" s="9">
        <v>0.62</v>
      </c>
    </row>
    <row r="591" spans="1:3" x14ac:dyDescent="0.2">
      <c r="A591" s="9"/>
      <c r="B591" s="9" t="s">
        <v>995</v>
      </c>
      <c r="C591" s="9">
        <v>0.68</v>
      </c>
    </row>
    <row r="592" spans="1:3" x14ac:dyDescent="0.2">
      <c r="A592" s="9"/>
      <c r="B592" s="9" t="s">
        <v>394</v>
      </c>
      <c r="C592" s="9">
        <v>0.76</v>
      </c>
    </row>
    <row r="593" spans="1:3" x14ac:dyDescent="0.2">
      <c r="A593" s="9"/>
      <c r="B593" s="9" t="s">
        <v>996</v>
      </c>
      <c r="C593" s="9">
        <v>0.7</v>
      </c>
    </row>
    <row r="594" spans="1:3" x14ac:dyDescent="0.2">
      <c r="A594" s="9"/>
      <c r="B594" s="9" t="s">
        <v>997</v>
      </c>
      <c r="C594" s="9">
        <v>0.69</v>
      </c>
    </row>
    <row r="595" spans="1:3" x14ac:dyDescent="0.2">
      <c r="A595" s="9"/>
      <c r="B595" s="9" t="s">
        <v>396</v>
      </c>
      <c r="C595" s="9">
        <v>0.71</v>
      </c>
    </row>
    <row r="596" spans="1:3" x14ac:dyDescent="0.2">
      <c r="A596" s="9"/>
      <c r="B596" s="9" t="s">
        <v>998</v>
      </c>
      <c r="C596" s="9">
        <v>0.7</v>
      </c>
    </row>
    <row r="597" spans="1:3" x14ac:dyDescent="0.2">
      <c r="A597" s="9"/>
      <c r="B597" s="9" t="s">
        <v>397</v>
      </c>
      <c r="C597" s="9">
        <v>0.63</v>
      </c>
    </row>
    <row r="598" spans="1:3" x14ac:dyDescent="0.2">
      <c r="A598" s="9"/>
      <c r="B598" s="9" t="s">
        <v>999</v>
      </c>
      <c r="C598" s="9">
        <v>0.62</v>
      </c>
    </row>
    <row r="599" spans="1:3" x14ac:dyDescent="0.2">
      <c r="A599" s="9"/>
      <c r="B599" s="9" t="s">
        <v>398</v>
      </c>
      <c r="C599" s="9">
        <v>0.67</v>
      </c>
    </row>
    <row r="600" spans="1:3" x14ac:dyDescent="0.2">
      <c r="A600" s="9"/>
      <c r="B600" s="9" t="s">
        <v>1000</v>
      </c>
      <c r="C600" s="9">
        <v>0.78</v>
      </c>
    </row>
    <row r="601" spans="1:3" x14ac:dyDescent="0.2">
      <c r="A601" s="9"/>
      <c r="B601" s="9" t="s">
        <v>1001</v>
      </c>
      <c r="C601" s="9">
        <v>0.67</v>
      </c>
    </row>
    <row r="602" spans="1:3" x14ac:dyDescent="0.2">
      <c r="A602" s="9"/>
      <c r="B602" s="9" t="s">
        <v>399</v>
      </c>
      <c r="C602" s="9">
        <v>0.61</v>
      </c>
    </row>
    <row r="603" spans="1:3" x14ac:dyDescent="0.2">
      <c r="A603" s="9"/>
      <c r="B603" s="9" t="s">
        <v>1002</v>
      </c>
      <c r="C603" s="9">
        <v>0.66</v>
      </c>
    </row>
    <row r="604" spans="1:3" x14ac:dyDescent="0.2">
      <c r="A604" s="9"/>
      <c r="B604" s="9" t="s">
        <v>1003</v>
      </c>
      <c r="C604" s="9">
        <v>0.66</v>
      </c>
    </row>
    <row r="605" spans="1:3" x14ac:dyDescent="0.2">
      <c r="A605" s="9" t="s">
        <v>442</v>
      </c>
      <c r="B605" s="9" t="s">
        <v>1004</v>
      </c>
      <c r="C605" s="9">
        <v>0.66</v>
      </c>
    </row>
    <row r="606" spans="1:3" x14ac:dyDescent="0.2">
      <c r="A606" s="9"/>
      <c r="B606" s="9" t="s">
        <v>1005</v>
      </c>
      <c r="C606" s="9">
        <v>0.71</v>
      </c>
    </row>
    <row r="607" spans="1:3" x14ac:dyDescent="0.2">
      <c r="A607" s="9"/>
      <c r="B607" s="9" t="s">
        <v>1006</v>
      </c>
      <c r="C607" s="9">
        <v>0.57999999999999996</v>
      </c>
    </row>
    <row r="608" spans="1:3" x14ac:dyDescent="0.2">
      <c r="A608" s="9"/>
      <c r="B608" s="9" t="s">
        <v>1007</v>
      </c>
      <c r="C608" s="9">
        <v>0.51</v>
      </c>
    </row>
    <row r="609" spans="1:3" x14ac:dyDescent="0.2">
      <c r="A609" s="9"/>
      <c r="B609" s="9" t="s">
        <v>1008</v>
      </c>
      <c r="C609" s="9">
        <v>0.62</v>
      </c>
    </row>
    <row r="610" spans="1:3" x14ac:dyDescent="0.2">
      <c r="A610" s="9"/>
      <c r="B610" s="9" t="s">
        <v>1009</v>
      </c>
      <c r="C610" s="9">
        <v>0.66</v>
      </c>
    </row>
    <row r="611" spans="1:3" x14ac:dyDescent="0.2">
      <c r="A611" s="9"/>
      <c r="B611" s="9" t="s">
        <v>1010</v>
      </c>
      <c r="C611" s="9">
        <v>0.68</v>
      </c>
    </row>
    <row r="612" spans="1:3" x14ac:dyDescent="0.2">
      <c r="A612" s="9"/>
      <c r="B612" s="9" t="s">
        <v>1011</v>
      </c>
      <c r="C612" s="9">
        <v>0.57999999999999996</v>
      </c>
    </row>
    <row r="613" spans="1:3" x14ac:dyDescent="0.2">
      <c r="A613" s="9"/>
      <c r="B613" s="9" t="s">
        <v>1012</v>
      </c>
      <c r="C613" s="9">
        <v>0.55000000000000004</v>
      </c>
    </row>
    <row r="614" spans="1:3" x14ac:dyDescent="0.2">
      <c r="A614" s="9"/>
      <c r="B614" s="9" t="s">
        <v>1013</v>
      </c>
      <c r="C614" s="9">
        <v>0.56000000000000005</v>
      </c>
    </row>
    <row r="615" spans="1:3" x14ac:dyDescent="0.2">
      <c r="A615" s="9"/>
      <c r="B615" s="9" t="s">
        <v>1014</v>
      </c>
      <c r="C615" s="9">
        <v>0.66</v>
      </c>
    </row>
    <row r="616" spans="1:3" x14ac:dyDescent="0.2">
      <c r="A616" s="9"/>
      <c r="B616" s="9" t="s">
        <v>1015</v>
      </c>
      <c r="C616" s="9">
        <v>0.61</v>
      </c>
    </row>
    <row r="617" spans="1:3" x14ac:dyDescent="0.2">
      <c r="A617" s="9"/>
      <c r="B617" s="9" t="s">
        <v>1016</v>
      </c>
      <c r="C617" s="9">
        <v>0.62</v>
      </c>
    </row>
    <row r="618" spans="1:3" x14ac:dyDescent="0.2">
      <c r="A618" s="9"/>
      <c r="B618" s="9" t="s">
        <v>1017</v>
      </c>
      <c r="C618" s="9">
        <v>0.65</v>
      </c>
    </row>
    <row r="619" spans="1:3" x14ac:dyDescent="0.2">
      <c r="A619" s="9"/>
      <c r="B619" s="9" t="s">
        <v>1018</v>
      </c>
      <c r="C619" s="9">
        <v>0.6</v>
      </c>
    </row>
    <row r="620" spans="1:3" x14ac:dyDescent="0.2">
      <c r="A620" s="9"/>
      <c r="B620" s="9" t="s">
        <v>1019</v>
      </c>
      <c r="C620" s="9">
        <v>0.61</v>
      </c>
    </row>
    <row r="621" spans="1:3" x14ac:dyDescent="0.2">
      <c r="A621" s="9"/>
      <c r="B621" s="9" t="s">
        <v>1020</v>
      </c>
      <c r="C621" s="9">
        <v>0.66</v>
      </c>
    </row>
    <row r="622" spans="1:3" x14ac:dyDescent="0.2">
      <c r="A622" s="9"/>
      <c r="B622" s="9" t="s">
        <v>1021</v>
      </c>
      <c r="C622" s="9">
        <v>0.66</v>
      </c>
    </row>
    <row r="623" spans="1:3" x14ac:dyDescent="0.2">
      <c r="A623" s="9"/>
      <c r="B623" s="9" t="s">
        <v>1022</v>
      </c>
      <c r="C623" s="9">
        <v>0.57999999999999996</v>
      </c>
    </row>
    <row r="624" spans="1:3" x14ac:dyDescent="0.2">
      <c r="A624" s="9"/>
      <c r="B624" s="9" t="s">
        <v>1023</v>
      </c>
      <c r="C624" s="9">
        <v>0.55000000000000004</v>
      </c>
    </row>
    <row r="625" spans="1:3" x14ac:dyDescent="0.2">
      <c r="A625" s="9"/>
      <c r="B625" s="9" t="s">
        <v>1024</v>
      </c>
      <c r="C625" s="9">
        <v>0.68</v>
      </c>
    </row>
    <row r="626" spans="1:3" x14ac:dyDescent="0.2">
      <c r="A626" s="9"/>
      <c r="B626" s="9" t="s">
        <v>1025</v>
      </c>
      <c r="C626" s="9">
        <v>0.61</v>
      </c>
    </row>
    <row r="627" spans="1:3" x14ac:dyDescent="0.2">
      <c r="A627" s="9"/>
      <c r="B627" s="9" t="s">
        <v>1026</v>
      </c>
      <c r="C627" s="9">
        <v>0.66</v>
      </c>
    </row>
    <row r="628" spans="1:3" x14ac:dyDescent="0.2">
      <c r="A628" s="9"/>
      <c r="B628" s="9" t="s">
        <v>1027</v>
      </c>
      <c r="C628" s="9">
        <v>0.69</v>
      </c>
    </row>
    <row r="629" spans="1:3" x14ac:dyDescent="0.2">
      <c r="A629" s="9"/>
      <c r="B629" s="9" t="s">
        <v>1028</v>
      </c>
      <c r="C629" s="9">
        <v>0.59</v>
      </c>
    </row>
    <row r="630" spans="1:3" x14ac:dyDescent="0.2">
      <c r="A630" s="9"/>
      <c r="B630" s="9" t="s">
        <v>1029</v>
      </c>
      <c r="C630" s="9">
        <v>0.64</v>
      </c>
    </row>
    <row r="631" spans="1:3" x14ac:dyDescent="0.2">
      <c r="A631" s="9" t="s">
        <v>443</v>
      </c>
      <c r="B631" s="9" t="s">
        <v>1030</v>
      </c>
      <c r="C631" s="9">
        <v>0.6</v>
      </c>
    </row>
    <row r="632" spans="1:3" x14ac:dyDescent="0.2">
      <c r="A632" s="9"/>
      <c r="B632" s="9" t="s">
        <v>1031</v>
      </c>
      <c r="C632" s="9">
        <v>0.68</v>
      </c>
    </row>
    <row r="633" spans="1:3" x14ac:dyDescent="0.2">
      <c r="A633" s="9"/>
      <c r="B633" s="9" t="s">
        <v>1032</v>
      </c>
      <c r="C633" s="9">
        <v>0.54</v>
      </c>
    </row>
    <row r="634" spans="1:3" x14ac:dyDescent="0.2">
      <c r="A634" s="9"/>
      <c r="B634" s="9" t="s">
        <v>1033</v>
      </c>
      <c r="C634" s="9">
        <v>0.55000000000000004</v>
      </c>
    </row>
    <row r="635" spans="1:3" x14ac:dyDescent="0.2">
      <c r="A635" s="9"/>
      <c r="B635" s="9" t="s">
        <v>1034</v>
      </c>
      <c r="C635" s="9">
        <v>0.56999999999999995</v>
      </c>
    </row>
    <row r="636" spans="1:3" x14ac:dyDescent="0.2">
      <c r="A636" s="9"/>
      <c r="B636" s="9" t="s">
        <v>1035</v>
      </c>
      <c r="C636" s="9">
        <v>0.55000000000000004</v>
      </c>
    </row>
    <row r="637" spans="1:3" x14ac:dyDescent="0.2">
      <c r="A637" s="9"/>
      <c r="B637" s="9" t="s">
        <v>1036</v>
      </c>
      <c r="C637" s="9">
        <v>0.54</v>
      </c>
    </row>
    <row r="638" spans="1:3" x14ac:dyDescent="0.2">
      <c r="A638" s="9"/>
      <c r="B638" s="9" t="s">
        <v>1037</v>
      </c>
      <c r="C638" s="9">
        <v>0.56999999999999995</v>
      </c>
    </row>
    <row r="639" spans="1:3" x14ac:dyDescent="0.2">
      <c r="A639" s="9"/>
      <c r="B639" s="9" t="s">
        <v>1038</v>
      </c>
      <c r="C639" s="9">
        <v>0.61</v>
      </c>
    </row>
    <row r="640" spans="1:3" x14ac:dyDescent="0.2">
      <c r="A640" s="9"/>
      <c r="B640" s="9" t="s">
        <v>1039</v>
      </c>
      <c r="C640" s="9">
        <v>0.61</v>
      </c>
    </row>
    <row r="641" spans="1:3" x14ac:dyDescent="0.2">
      <c r="A641" s="9" t="s">
        <v>1040</v>
      </c>
      <c r="B641" s="9" t="s">
        <v>1041</v>
      </c>
      <c r="C641" s="9">
        <v>0.56999999999999995</v>
      </c>
    </row>
    <row r="642" spans="1:3" x14ac:dyDescent="0.2">
      <c r="A642" s="9"/>
      <c r="B642" s="9" t="s">
        <v>1042</v>
      </c>
      <c r="C642" s="9">
        <v>0.55000000000000004</v>
      </c>
    </row>
    <row r="643" spans="1:3" x14ac:dyDescent="0.2">
      <c r="A643" s="9"/>
      <c r="B643" s="9" t="s">
        <v>1043</v>
      </c>
      <c r="C643" s="9">
        <v>0.5</v>
      </c>
    </row>
    <row r="644" spans="1:3" x14ac:dyDescent="0.2">
      <c r="A644" s="9"/>
      <c r="B644" s="9" t="s">
        <v>1044</v>
      </c>
      <c r="C644" s="9">
        <v>0.54</v>
      </c>
    </row>
    <row r="645" spans="1:3" x14ac:dyDescent="0.2">
      <c r="A645" s="9"/>
      <c r="B645" s="9" t="s">
        <v>1045</v>
      </c>
      <c r="C645" s="9">
        <v>0.52</v>
      </c>
    </row>
    <row r="646" spans="1:3" x14ac:dyDescent="0.2">
      <c r="A646" s="9"/>
      <c r="B646" s="9" t="s">
        <v>1046</v>
      </c>
      <c r="C646" s="9">
        <v>0.5</v>
      </c>
    </row>
    <row r="647" spans="1:3" x14ac:dyDescent="0.2">
      <c r="A647" s="9"/>
      <c r="B647" s="9" t="s">
        <v>1047</v>
      </c>
      <c r="C647" s="9">
        <v>1.56</v>
      </c>
    </row>
    <row r="648" spans="1:3" x14ac:dyDescent="0.2">
      <c r="A648" s="9"/>
      <c r="B648" s="9" t="s">
        <v>1048</v>
      </c>
      <c r="C648" s="9">
        <v>0.55000000000000004</v>
      </c>
    </row>
    <row r="649" spans="1:3" x14ac:dyDescent="0.2">
      <c r="A649" s="9" t="s">
        <v>1049</v>
      </c>
      <c r="B649" s="9" t="s">
        <v>1050</v>
      </c>
      <c r="C649" s="9">
        <v>0.53</v>
      </c>
    </row>
    <row r="650" spans="1:3" x14ac:dyDescent="0.2">
      <c r="A650" s="9"/>
      <c r="B650" s="9" t="s">
        <v>1051</v>
      </c>
      <c r="C650" s="9">
        <v>0.52</v>
      </c>
    </row>
    <row r="651" spans="1:3" x14ac:dyDescent="0.2">
      <c r="A651" s="9"/>
      <c r="B651" s="9" t="s">
        <v>1052</v>
      </c>
      <c r="C651" s="9">
        <v>0.44</v>
      </c>
    </row>
    <row r="652" spans="1:3" x14ac:dyDescent="0.2">
      <c r="A652" s="9"/>
      <c r="B652" s="9" t="s">
        <v>1053</v>
      </c>
      <c r="C652" s="9">
        <v>0.49</v>
      </c>
    </row>
    <row r="653" spans="1:3" x14ac:dyDescent="0.2">
      <c r="A653" s="9"/>
      <c r="B653" s="9" t="s">
        <v>1054</v>
      </c>
      <c r="C653" s="9">
        <v>0.48</v>
      </c>
    </row>
    <row r="654" spans="1:3" x14ac:dyDescent="0.2">
      <c r="A654" s="9"/>
      <c r="B654" s="9" t="s">
        <v>1055</v>
      </c>
      <c r="C654" s="9">
        <v>0.44</v>
      </c>
    </row>
    <row r="655" spans="1:3" x14ac:dyDescent="0.2">
      <c r="A655" s="9"/>
      <c r="B655" s="9" t="s">
        <v>1056</v>
      </c>
      <c r="C655" s="9">
        <v>0.54</v>
      </c>
    </row>
    <row r="656" spans="1:3" x14ac:dyDescent="0.2">
      <c r="A656" s="9"/>
      <c r="B656" s="9" t="s">
        <v>1057</v>
      </c>
      <c r="C656" s="9">
        <v>0.5</v>
      </c>
    </row>
    <row r="657" spans="1:3" x14ac:dyDescent="0.2">
      <c r="A657" s="9"/>
      <c r="B657" s="9" t="s">
        <v>1058</v>
      </c>
      <c r="C657" s="9">
        <v>0.48</v>
      </c>
    </row>
    <row r="658" spans="1:3" x14ac:dyDescent="0.2">
      <c r="A658" s="9" t="s">
        <v>1059</v>
      </c>
      <c r="B658" s="9" t="s">
        <v>1060</v>
      </c>
      <c r="C658" s="9">
        <v>0.54</v>
      </c>
    </row>
    <row r="659" spans="1:3" x14ac:dyDescent="0.2">
      <c r="A659" s="9"/>
      <c r="B659" s="9" t="s">
        <v>1061</v>
      </c>
      <c r="C659" s="9">
        <v>0.52</v>
      </c>
    </row>
    <row r="660" spans="1:3" x14ac:dyDescent="0.2">
      <c r="A660" s="9"/>
      <c r="B660" s="9" t="s">
        <v>1062</v>
      </c>
      <c r="C660" s="9">
        <v>0.66</v>
      </c>
    </row>
    <row r="661" spans="1:3" x14ac:dyDescent="0.2">
      <c r="A661" s="9"/>
      <c r="B661" s="9" t="s">
        <v>1063</v>
      </c>
      <c r="C661" s="9">
        <v>0.63</v>
      </c>
    </row>
    <row r="662" spans="1:3" x14ac:dyDescent="0.2">
      <c r="A662" s="9"/>
      <c r="B662" s="9" t="s">
        <v>1064</v>
      </c>
      <c r="C662" s="9">
        <v>0.64</v>
      </c>
    </row>
    <row r="663" spans="1:3" x14ac:dyDescent="0.2">
      <c r="A663" s="9"/>
      <c r="B663" s="9" t="s">
        <v>1065</v>
      </c>
      <c r="C663" s="9">
        <v>0.52</v>
      </c>
    </row>
    <row r="664" spans="1:3" x14ac:dyDescent="0.2">
      <c r="A664" s="9"/>
      <c r="B664" s="9" t="s">
        <v>1066</v>
      </c>
      <c r="C664" s="9">
        <v>0.57999999999999996</v>
      </c>
    </row>
    <row r="665" spans="1:3" x14ac:dyDescent="0.2">
      <c r="A665" s="9"/>
      <c r="B665" s="9" t="s">
        <v>1067</v>
      </c>
      <c r="C665" s="9">
        <v>0.57999999999999996</v>
      </c>
    </row>
    <row r="666" spans="1:3" x14ac:dyDescent="0.2">
      <c r="A666" s="9"/>
      <c r="B666" s="9" t="s">
        <v>1068</v>
      </c>
      <c r="C666" s="9">
        <v>0.53</v>
      </c>
    </row>
    <row r="667" spans="1:3" x14ac:dyDescent="0.2">
      <c r="A667" s="9"/>
      <c r="B667" s="9" t="s">
        <v>1069</v>
      </c>
      <c r="C667" s="9">
        <v>0.49</v>
      </c>
    </row>
    <row r="668" spans="1:3" x14ac:dyDescent="0.2">
      <c r="A668" s="9"/>
      <c r="B668" s="9" t="s">
        <v>1070</v>
      </c>
      <c r="C668" s="9">
        <v>0.66</v>
      </c>
    </row>
    <row r="669" spans="1:3" x14ac:dyDescent="0.2">
      <c r="A669" s="9"/>
      <c r="B669" s="9" t="s">
        <v>1071</v>
      </c>
      <c r="C669" s="9">
        <v>0.53</v>
      </c>
    </row>
    <row r="670" spans="1:3" x14ac:dyDescent="0.2">
      <c r="A670" s="9"/>
      <c r="B670" s="9" t="s">
        <v>1072</v>
      </c>
      <c r="C670" s="9">
        <v>0.6</v>
      </c>
    </row>
    <row r="671" spans="1:3" x14ac:dyDescent="0.2">
      <c r="A671" s="9"/>
      <c r="B671" s="9" t="s">
        <v>1073</v>
      </c>
      <c r="C671" s="9">
        <v>0.52</v>
      </c>
    </row>
    <row r="672" spans="1:3" x14ac:dyDescent="0.2">
      <c r="A672" s="9"/>
      <c r="B672" s="9" t="s">
        <v>1074</v>
      </c>
      <c r="C672" s="9">
        <v>0.63</v>
      </c>
    </row>
    <row r="673" spans="1:3" x14ac:dyDescent="0.2">
      <c r="A673" s="9"/>
      <c r="B673" s="9" t="s">
        <v>1075</v>
      </c>
      <c r="C673" s="9">
        <v>0.51</v>
      </c>
    </row>
    <row r="674" spans="1:3" x14ac:dyDescent="0.2">
      <c r="A674" s="9"/>
      <c r="B674" s="9" t="s">
        <v>1076</v>
      </c>
      <c r="C674" s="9">
        <v>0.57999999999999996</v>
      </c>
    </row>
    <row r="675" spans="1:3" x14ac:dyDescent="0.2">
      <c r="A675" s="9" t="s">
        <v>1077</v>
      </c>
      <c r="B675" s="9" t="s">
        <v>1078</v>
      </c>
      <c r="C675" s="9">
        <v>0.59</v>
      </c>
    </row>
    <row r="676" spans="1:3" x14ac:dyDescent="0.2">
      <c r="A676" s="9"/>
      <c r="B676" s="9" t="s">
        <v>1079</v>
      </c>
      <c r="C676" s="9">
        <v>0.61</v>
      </c>
    </row>
    <row r="677" spans="1:3" x14ac:dyDescent="0.2">
      <c r="A677" s="9"/>
      <c r="B677" s="9" t="s">
        <v>1080</v>
      </c>
      <c r="C677" s="9">
        <v>0.61</v>
      </c>
    </row>
    <row r="678" spans="1:3" x14ac:dyDescent="0.2">
      <c r="A678" s="9"/>
      <c r="B678" s="9" t="s">
        <v>1081</v>
      </c>
      <c r="C678" s="9">
        <v>0.65</v>
      </c>
    </row>
    <row r="679" spans="1:3" x14ac:dyDescent="0.2">
      <c r="A679" s="9"/>
      <c r="B679" s="9" t="s">
        <v>1082</v>
      </c>
      <c r="C679" s="9">
        <v>0.52</v>
      </c>
    </row>
    <row r="680" spans="1:3" x14ac:dyDescent="0.2">
      <c r="A680" s="9"/>
      <c r="B680" s="9" t="s">
        <v>1083</v>
      </c>
      <c r="C680" s="9">
        <v>0.61</v>
      </c>
    </row>
    <row r="681" spans="1:3" x14ac:dyDescent="0.2">
      <c r="A681" s="9"/>
      <c r="B681" s="9" t="s">
        <v>1084</v>
      </c>
      <c r="C681" s="9">
        <v>0.51</v>
      </c>
    </row>
    <row r="682" spans="1:3" x14ac:dyDescent="0.2">
      <c r="A682" s="9"/>
      <c r="B682" s="9" t="s">
        <v>1085</v>
      </c>
      <c r="C682" s="9">
        <v>0.53</v>
      </c>
    </row>
    <row r="683" spans="1:3" x14ac:dyDescent="0.2">
      <c r="A683" s="9"/>
      <c r="B683" s="9" t="s">
        <v>1086</v>
      </c>
      <c r="C683" s="9">
        <v>0.56999999999999995</v>
      </c>
    </row>
    <row r="684" spans="1:3" x14ac:dyDescent="0.2">
      <c r="A684" s="9"/>
      <c r="B684" s="9" t="s">
        <v>1087</v>
      </c>
      <c r="C684" s="9">
        <v>0.59</v>
      </c>
    </row>
    <row r="685" spans="1:3" x14ac:dyDescent="0.2">
      <c r="A685" s="9"/>
      <c r="B685" s="9" t="s">
        <v>1088</v>
      </c>
      <c r="C685" s="9">
        <v>0.51</v>
      </c>
    </row>
    <row r="686" spans="1:3" x14ac:dyDescent="0.2">
      <c r="A686" s="9"/>
      <c r="B686" s="9" t="s">
        <v>1089</v>
      </c>
      <c r="C686" s="9">
        <v>0.61</v>
      </c>
    </row>
    <row r="687" spans="1:3" x14ac:dyDescent="0.2">
      <c r="A687" s="9"/>
      <c r="B687" s="9" t="s">
        <v>1090</v>
      </c>
      <c r="C687" s="9">
        <v>0.56999999999999995</v>
      </c>
    </row>
    <row r="688" spans="1:3" x14ac:dyDescent="0.2">
      <c r="A688" s="9"/>
      <c r="B688" s="9" t="s">
        <v>1091</v>
      </c>
      <c r="C688" s="9">
        <v>0.57999999999999996</v>
      </c>
    </row>
    <row r="689" spans="1:3" x14ac:dyDescent="0.2">
      <c r="A689" s="9"/>
      <c r="B689" s="9" t="s">
        <v>1092</v>
      </c>
      <c r="C689" s="9">
        <v>0.6</v>
      </c>
    </row>
    <row r="690" spans="1:3" x14ac:dyDescent="0.2">
      <c r="A690" s="9"/>
      <c r="B690" s="9" t="s">
        <v>1093</v>
      </c>
      <c r="C690" s="9">
        <v>0.49</v>
      </c>
    </row>
    <row r="691" spans="1:3" x14ac:dyDescent="0.2">
      <c r="A691" s="9"/>
      <c r="B691" s="9" t="s">
        <v>1094</v>
      </c>
      <c r="C691" s="9">
        <v>0.53</v>
      </c>
    </row>
    <row r="692" spans="1:3" x14ac:dyDescent="0.2">
      <c r="A692" s="9"/>
      <c r="B692" s="9" t="s">
        <v>1095</v>
      </c>
      <c r="C692" s="9">
        <v>0.56999999999999995</v>
      </c>
    </row>
    <row r="693" spans="1:3" x14ac:dyDescent="0.2">
      <c r="A693" s="9"/>
      <c r="B693" s="9" t="s">
        <v>1096</v>
      </c>
      <c r="C693" s="9">
        <v>0.56000000000000005</v>
      </c>
    </row>
    <row r="694" spans="1:3" x14ac:dyDescent="0.2">
      <c r="A694" s="9"/>
      <c r="B694" s="9" t="s">
        <v>1097</v>
      </c>
      <c r="C694" s="9">
        <v>0.55000000000000004</v>
      </c>
    </row>
    <row r="695" spans="1:3" x14ac:dyDescent="0.2">
      <c r="A695" s="9"/>
      <c r="B695" s="9" t="s">
        <v>1098</v>
      </c>
      <c r="C695" s="9">
        <v>0.53</v>
      </c>
    </row>
    <row r="696" spans="1:3" x14ac:dyDescent="0.2">
      <c r="A696" s="9"/>
      <c r="B696" s="9" t="s">
        <v>1099</v>
      </c>
      <c r="C696" s="9">
        <v>0.56999999999999995</v>
      </c>
    </row>
    <row r="697" spans="1:3" x14ac:dyDescent="0.2">
      <c r="A697" s="9"/>
      <c r="B697" s="9" t="s">
        <v>1100</v>
      </c>
      <c r="C697" s="9">
        <v>0.54</v>
      </c>
    </row>
    <row r="698" spans="1:3" x14ac:dyDescent="0.2">
      <c r="A698" s="9"/>
      <c r="B698" s="9" t="s">
        <v>1101</v>
      </c>
      <c r="C698" s="9">
        <v>0.51</v>
      </c>
    </row>
    <row r="699" spans="1:3" x14ac:dyDescent="0.2">
      <c r="A699" s="9" t="s">
        <v>1102</v>
      </c>
      <c r="B699" s="9" t="s">
        <v>1103</v>
      </c>
      <c r="C699" s="9">
        <v>0.47</v>
      </c>
    </row>
    <row r="700" spans="1:3" x14ac:dyDescent="0.2">
      <c r="A700" s="9"/>
      <c r="B700" s="9" t="s">
        <v>1104</v>
      </c>
      <c r="C700" s="9">
        <v>0.49</v>
      </c>
    </row>
    <row r="701" spans="1:3" x14ac:dyDescent="0.2">
      <c r="A701" s="9"/>
      <c r="B701" s="9" t="s">
        <v>1105</v>
      </c>
      <c r="C701" s="9">
        <v>0.43</v>
      </c>
    </row>
    <row r="702" spans="1:3" x14ac:dyDescent="0.2">
      <c r="A702" s="9"/>
      <c r="B702" s="9" t="s">
        <v>1106</v>
      </c>
      <c r="C702" s="9">
        <v>0.46</v>
      </c>
    </row>
    <row r="703" spans="1:3" x14ac:dyDescent="0.2">
      <c r="A703" s="9"/>
      <c r="B703" s="9" t="s">
        <v>1107</v>
      </c>
      <c r="C703" s="9">
        <v>0.5</v>
      </c>
    </row>
    <row r="704" spans="1:3" x14ac:dyDescent="0.2">
      <c r="A704" s="9"/>
      <c r="B704" s="9" t="s">
        <v>1108</v>
      </c>
      <c r="C704" s="9">
        <v>0.5</v>
      </c>
    </row>
    <row r="705" spans="1:3" x14ac:dyDescent="0.2">
      <c r="A705" s="9"/>
      <c r="B705" s="9" t="s">
        <v>1109</v>
      </c>
      <c r="C705" s="9">
        <v>0.43</v>
      </c>
    </row>
    <row r="706" spans="1:3" x14ac:dyDescent="0.2">
      <c r="A706" s="9"/>
      <c r="B706" s="9" t="s">
        <v>1110</v>
      </c>
      <c r="C706" s="9">
        <v>0.44</v>
      </c>
    </row>
    <row r="707" spans="1:3" x14ac:dyDescent="0.2">
      <c r="A707" s="9"/>
      <c r="B707" s="9" t="s">
        <v>1111</v>
      </c>
      <c r="C707" s="9">
        <v>0.38</v>
      </c>
    </row>
    <row r="708" spans="1:3" x14ac:dyDescent="0.2">
      <c r="A708" s="9"/>
      <c r="B708" s="9" t="s">
        <v>1112</v>
      </c>
      <c r="C708" s="9">
        <v>0.44</v>
      </c>
    </row>
    <row r="709" spans="1:3" x14ac:dyDescent="0.2">
      <c r="A709" s="9"/>
      <c r="B709" s="9" t="s">
        <v>1113</v>
      </c>
      <c r="C709" s="9">
        <v>0.43</v>
      </c>
    </row>
    <row r="710" spans="1:3" x14ac:dyDescent="0.2">
      <c r="A710" s="9"/>
      <c r="B710" s="9" t="s">
        <v>1114</v>
      </c>
      <c r="C710" s="9">
        <v>0.4</v>
      </c>
    </row>
    <row r="711" spans="1:3" x14ac:dyDescent="0.2">
      <c r="A711" s="9"/>
      <c r="B711" s="9" t="s">
        <v>1115</v>
      </c>
      <c r="C711" s="9">
        <v>0.43</v>
      </c>
    </row>
    <row r="712" spans="1:3" x14ac:dyDescent="0.2">
      <c r="A712" s="9"/>
      <c r="B712" s="9" t="s">
        <v>1116</v>
      </c>
      <c r="C712" s="9">
        <v>0.44</v>
      </c>
    </row>
    <row r="713" spans="1:3" x14ac:dyDescent="0.2">
      <c r="A713" s="9"/>
      <c r="B713" s="9" t="s">
        <v>1117</v>
      </c>
      <c r="C713" s="9">
        <v>0.41</v>
      </c>
    </row>
    <row r="714" spans="1:3" x14ac:dyDescent="0.2">
      <c r="A714" s="9"/>
      <c r="B714" s="9" t="s">
        <v>1118</v>
      </c>
      <c r="C714" s="9">
        <v>0.43</v>
      </c>
    </row>
    <row r="715" spans="1:3" x14ac:dyDescent="0.2">
      <c r="A715" s="9"/>
      <c r="B715" s="9" t="s">
        <v>1119</v>
      </c>
      <c r="C715" s="9">
        <v>0.4</v>
      </c>
    </row>
    <row r="716" spans="1:3" x14ac:dyDescent="0.2">
      <c r="A716" s="9"/>
      <c r="B716" s="9" t="s">
        <v>1120</v>
      </c>
      <c r="C716" s="9">
        <v>0.43</v>
      </c>
    </row>
    <row r="717" spans="1:3" x14ac:dyDescent="0.2">
      <c r="A717" s="9"/>
      <c r="B717" s="9" t="s">
        <v>1121</v>
      </c>
      <c r="C717" s="9">
        <v>0.42</v>
      </c>
    </row>
    <row r="718" spans="1:3" x14ac:dyDescent="0.2">
      <c r="A718" s="9"/>
      <c r="B718" s="9" t="s">
        <v>1122</v>
      </c>
      <c r="C718" s="9">
        <v>0.41</v>
      </c>
    </row>
    <row r="719" spans="1:3" x14ac:dyDescent="0.2">
      <c r="A719" s="9"/>
      <c r="B719" s="9" t="s">
        <v>1123</v>
      </c>
      <c r="C719" s="9">
        <v>0.43</v>
      </c>
    </row>
    <row r="720" spans="1:3" x14ac:dyDescent="0.2">
      <c r="A720" s="9"/>
      <c r="B720" s="9" t="s">
        <v>1124</v>
      </c>
      <c r="C720" s="9">
        <v>0.39</v>
      </c>
    </row>
    <row r="721" spans="1:3" x14ac:dyDescent="0.2">
      <c r="A721" s="9" t="s">
        <v>1125</v>
      </c>
      <c r="B721" s="9" t="s">
        <v>1126</v>
      </c>
      <c r="C721" s="9">
        <v>0.67</v>
      </c>
    </row>
    <row r="722" spans="1:3" x14ac:dyDescent="0.2">
      <c r="A722" s="9"/>
      <c r="B722" s="9" t="s">
        <v>1127</v>
      </c>
      <c r="C722" s="9">
        <v>0.69</v>
      </c>
    </row>
    <row r="723" spans="1:3" x14ac:dyDescent="0.2">
      <c r="A723" s="9"/>
      <c r="B723" s="9" t="s">
        <v>1128</v>
      </c>
      <c r="C723" s="9">
        <v>0.76</v>
      </c>
    </row>
    <row r="724" spans="1:3" x14ac:dyDescent="0.2">
      <c r="A724" s="9"/>
      <c r="B724" s="9" t="s">
        <v>1129</v>
      </c>
      <c r="C724" s="9">
        <v>0.69</v>
      </c>
    </row>
    <row r="725" spans="1:3" x14ac:dyDescent="0.2">
      <c r="A725" s="9"/>
      <c r="B725" s="9" t="s">
        <v>1130</v>
      </c>
      <c r="C725" s="9">
        <v>0.7</v>
      </c>
    </row>
    <row r="726" spans="1:3" x14ac:dyDescent="0.2">
      <c r="A726" s="9"/>
      <c r="B726" s="9" t="s">
        <v>1131</v>
      </c>
      <c r="C726" s="9">
        <v>0.66</v>
      </c>
    </row>
    <row r="727" spans="1:3" x14ac:dyDescent="0.2">
      <c r="A727" s="9"/>
      <c r="B727" s="9" t="s">
        <v>1132</v>
      </c>
      <c r="C727" s="9">
        <v>0.69</v>
      </c>
    </row>
    <row r="728" spans="1:3" x14ac:dyDescent="0.2">
      <c r="A728" s="9"/>
      <c r="B728" s="9" t="s">
        <v>1133</v>
      </c>
      <c r="C728" s="9">
        <v>0.72</v>
      </c>
    </row>
    <row r="729" spans="1:3" x14ac:dyDescent="0.2">
      <c r="A729" s="9"/>
      <c r="B729" s="9" t="s">
        <v>1134</v>
      </c>
      <c r="C729" s="9">
        <v>0.73</v>
      </c>
    </row>
    <row r="730" spans="1:3" x14ac:dyDescent="0.2">
      <c r="A730" s="9"/>
      <c r="B730" s="9" t="s">
        <v>1135</v>
      </c>
      <c r="C730" s="9">
        <v>0.68</v>
      </c>
    </row>
    <row r="731" spans="1:3" x14ac:dyDescent="0.2">
      <c r="A731" s="9" t="s">
        <v>454</v>
      </c>
      <c r="B731" s="9" t="s">
        <v>1136</v>
      </c>
      <c r="C731" s="9">
        <v>0.56000000000000005</v>
      </c>
    </row>
    <row r="732" spans="1:3" x14ac:dyDescent="0.2">
      <c r="A732" s="9"/>
      <c r="B732" s="9" t="s">
        <v>1137</v>
      </c>
      <c r="C732" s="9">
        <v>0.61</v>
      </c>
    </row>
    <row r="733" spans="1:3" x14ac:dyDescent="0.2">
      <c r="A733" s="9"/>
      <c r="B733" s="9" t="s">
        <v>1138</v>
      </c>
      <c r="C733" s="9">
        <v>0.47</v>
      </c>
    </row>
    <row r="734" spans="1:3" x14ac:dyDescent="0.2">
      <c r="A734" s="9"/>
      <c r="B734" s="9" t="s">
        <v>1139</v>
      </c>
      <c r="C734" s="9">
        <v>0.57999999999999996</v>
      </c>
    </row>
    <row r="735" spans="1:3" x14ac:dyDescent="0.2">
      <c r="A735" s="9"/>
      <c r="B735" s="9" t="s">
        <v>1140</v>
      </c>
      <c r="C735" s="9">
        <v>0.49</v>
      </c>
    </row>
    <row r="736" spans="1:3" x14ac:dyDescent="0.2">
      <c r="A736" s="9"/>
      <c r="B736" s="9" t="s">
        <v>1141</v>
      </c>
      <c r="C736" s="9">
        <v>0.54</v>
      </c>
    </row>
    <row r="737" spans="1:3" x14ac:dyDescent="0.2">
      <c r="A737" s="9"/>
      <c r="B737" s="9" t="s">
        <v>1142</v>
      </c>
      <c r="C737" s="9">
        <v>0.51</v>
      </c>
    </row>
    <row r="738" spans="1:3" x14ac:dyDescent="0.2">
      <c r="A738" s="9"/>
      <c r="B738" s="9" t="s">
        <v>1143</v>
      </c>
      <c r="C738" s="9">
        <v>0.53</v>
      </c>
    </row>
    <row r="739" spans="1:3" x14ac:dyDescent="0.2">
      <c r="A739" s="9"/>
      <c r="B739" s="9" t="s">
        <v>1144</v>
      </c>
      <c r="C739" s="9">
        <v>0.61</v>
      </c>
    </row>
    <row r="740" spans="1:3" x14ac:dyDescent="0.2">
      <c r="A740" s="9"/>
      <c r="B740" s="9" t="s">
        <v>1145</v>
      </c>
      <c r="C740" s="9">
        <v>0.5</v>
      </c>
    </row>
    <row r="741" spans="1:3" x14ac:dyDescent="0.2">
      <c r="A741" s="9"/>
      <c r="B741" s="9" t="s">
        <v>1146</v>
      </c>
      <c r="C741" s="9">
        <v>0.55000000000000004</v>
      </c>
    </row>
    <row r="742" spans="1:3" x14ac:dyDescent="0.2">
      <c r="A742" s="9"/>
      <c r="B742" s="9" t="s">
        <v>1147</v>
      </c>
      <c r="C742" s="9">
        <v>0.56000000000000005</v>
      </c>
    </row>
    <row r="743" spans="1:3" x14ac:dyDescent="0.2">
      <c r="A743" s="9"/>
      <c r="B743" s="9" t="s">
        <v>1148</v>
      </c>
      <c r="C743" s="9">
        <v>0.48</v>
      </c>
    </row>
    <row r="744" spans="1:3" x14ac:dyDescent="0.2">
      <c r="A744" s="9" t="s">
        <v>455</v>
      </c>
      <c r="B744" s="9" t="s">
        <v>1149</v>
      </c>
      <c r="C744" s="9">
        <v>0.55000000000000004</v>
      </c>
    </row>
    <row r="745" spans="1:3" x14ac:dyDescent="0.2">
      <c r="A745" s="9"/>
      <c r="B745" s="9" t="s">
        <v>1150</v>
      </c>
      <c r="C745" s="9">
        <v>0.48</v>
      </c>
    </row>
    <row r="746" spans="1:3" x14ac:dyDescent="0.2">
      <c r="A746" s="9"/>
      <c r="B746" s="9" t="s">
        <v>1151</v>
      </c>
      <c r="C746" s="9">
        <v>0.63</v>
      </c>
    </row>
    <row r="747" spans="1:3" x14ac:dyDescent="0.2">
      <c r="A747" s="9"/>
      <c r="B747" s="9" t="s">
        <v>1152</v>
      </c>
      <c r="C747" s="9">
        <v>0.56000000000000005</v>
      </c>
    </row>
    <row r="748" spans="1:3" x14ac:dyDescent="0.2">
      <c r="A748" s="9"/>
      <c r="B748" s="9" t="s">
        <v>1153</v>
      </c>
      <c r="C748" s="9">
        <v>0.65</v>
      </c>
    </row>
    <row r="749" spans="1:3" x14ac:dyDescent="0.2">
      <c r="A749" s="9"/>
      <c r="B749" s="9" t="s">
        <v>1154</v>
      </c>
      <c r="C749" s="9">
        <v>0.67</v>
      </c>
    </row>
    <row r="750" spans="1:3" x14ac:dyDescent="0.2">
      <c r="A750" s="9"/>
      <c r="B750" s="9" t="s">
        <v>1155</v>
      </c>
      <c r="C750" s="9">
        <v>0.53</v>
      </c>
    </row>
    <row r="751" spans="1:3" x14ac:dyDescent="0.2">
      <c r="A751" s="9"/>
      <c r="B751" s="9" t="s">
        <v>1156</v>
      </c>
      <c r="C751" s="9">
        <v>0.45</v>
      </c>
    </row>
    <row r="752" spans="1:3" x14ac:dyDescent="0.2">
      <c r="A752" s="9"/>
      <c r="B752" s="9" t="s">
        <v>1157</v>
      </c>
      <c r="C752" s="9">
        <v>0.56000000000000005</v>
      </c>
    </row>
    <row r="753" spans="1:3" x14ac:dyDescent="0.2">
      <c r="A753" s="9"/>
      <c r="B753" s="9" t="s">
        <v>1158</v>
      </c>
      <c r="C753" s="9">
        <v>0.57999999999999996</v>
      </c>
    </row>
    <row r="754" spans="1:3" x14ac:dyDescent="0.2">
      <c r="A754" s="9"/>
      <c r="B754" s="9" t="s">
        <v>1159</v>
      </c>
      <c r="C754" s="9">
        <v>0.61</v>
      </c>
    </row>
    <row r="755" spans="1:3" x14ac:dyDescent="0.2">
      <c r="A755" s="9"/>
      <c r="B755" s="9" t="s">
        <v>1160</v>
      </c>
      <c r="C755" s="9">
        <v>0.56000000000000005</v>
      </c>
    </row>
    <row r="756" spans="1:3" x14ac:dyDescent="0.2">
      <c r="A756" s="9"/>
      <c r="B756" s="9" t="s">
        <v>1161</v>
      </c>
      <c r="C756" s="9">
        <v>0.55000000000000004</v>
      </c>
    </row>
    <row r="757" spans="1:3" x14ac:dyDescent="0.2">
      <c r="A757" s="9"/>
      <c r="B757" s="9" t="s">
        <v>1162</v>
      </c>
      <c r="C757" s="9">
        <v>0.54</v>
      </c>
    </row>
    <row r="758" spans="1:3" x14ac:dyDescent="0.2">
      <c r="A758" s="9"/>
      <c r="B758" s="9" t="s">
        <v>1163</v>
      </c>
      <c r="C758" s="9">
        <v>0.61</v>
      </c>
    </row>
    <row r="759" spans="1:3" x14ac:dyDescent="0.2">
      <c r="A759" s="9" t="s">
        <v>315</v>
      </c>
      <c r="B759" s="9" t="s">
        <v>1164</v>
      </c>
      <c r="C759" s="9">
        <v>0.61</v>
      </c>
    </row>
    <row r="760" spans="1:3" x14ac:dyDescent="0.2">
      <c r="A760" s="9"/>
      <c r="B760" s="9" t="s">
        <v>1165</v>
      </c>
      <c r="C760" s="9">
        <v>0.48</v>
      </c>
    </row>
    <row r="761" spans="1:3" x14ac:dyDescent="0.2">
      <c r="A761" s="9"/>
      <c r="B761" s="9" t="s">
        <v>1166</v>
      </c>
      <c r="C761" s="9">
        <v>0.63</v>
      </c>
    </row>
    <row r="762" spans="1:3" x14ac:dyDescent="0.2">
      <c r="A762" s="9"/>
      <c r="B762" s="9" t="s">
        <v>1167</v>
      </c>
      <c r="C762" s="9">
        <v>0.61</v>
      </c>
    </row>
    <row r="763" spans="1:3" x14ac:dyDescent="0.2">
      <c r="A763" s="9"/>
      <c r="B763" s="9" t="s">
        <v>1168</v>
      </c>
      <c r="C763" s="9">
        <v>0.53</v>
      </c>
    </row>
    <row r="764" spans="1:3" x14ac:dyDescent="0.2">
      <c r="A764" s="9"/>
      <c r="B764" s="9" t="s">
        <v>1169</v>
      </c>
      <c r="C764" s="9">
        <v>0.56000000000000005</v>
      </c>
    </row>
    <row r="765" spans="1:3" x14ac:dyDescent="0.2">
      <c r="A765" s="9"/>
      <c r="B765" s="9" t="s">
        <v>1170</v>
      </c>
      <c r="C765" s="9">
        <v>0.61</v>
      </c>
    </row>
    <row r="766" spans="1:3" x14ac:dyDescent="0.2">
      <c r="A766" s="9"/>
      <c r="B766" s="9" t="s">
        <v>1171</v>
      </c>
      <c r="C766" s="9">
        <v>0.61</v>
      </c>
    </row>
    <row r="767" spans="1:3" x14ac:dyDescent="0.2">
      <c r="A767" s="9"/>
      <c r="B767" s="9" t="s">
        <v>1172</v>
      </c>
      <c r="C767" s="9">
        <v>0.64</v>
      </c>
    </row>
    <row r="768" spans="1:3" x14ac:dyDescent="0.2">
      <c r="A768" s="9"/>
      <c r="B768" s="9" t="s">
        <v>1173</v>
      </c>
      <c r="C768" s="9">
        <v>0.5</v>
      </c>
    </row>
    <row r="769" spans="1:3" x14ac:dyDescent="0.2">
      <c r="A769" s="9"/>
      <c r="B769" s="9" t="s">
        <v>1174</v>
      </c>
      <c r="C769" s="9">
        <v>0.61</v>
      </c>
    </row>
    <row r="770" spans="1:3" x14ac:dyDescent="0.2">
      <c r="A770" s="9"/>
      <c r="B770" s="9" t="s">
        <v>1175</v>
      </c>
      <c r="C770" s="9">
        <v>0.56000000000000005</v>
      </c>
    </row>
    <row r="771" spans="1:3" x14ac:dyDescent="0.2">
      <c r="A771" s="9"/>
      <c r="B771" s="9" t="s">
        <v>1176</v>
      </c>
      <c r="C771" s="9">
        <v>0.52</v>
      </c>
    </row>
    <row r="772" spans="1:3" x14ac:dyDescent="0.2">
      <c r="A772" s="9"/>
      <c r="B772" s="9" t="s">
        <v>1177</v>
      </c>
      <c r="C772" s="9">
        <v>0.5</v>
      </c>
    </row>
    <row r="773" spans="1:3" x14ac:dyDescent="0.2">
      <c r="A773" s="9"/>
      <c r="B773" s="9" t="s">
        <v>1178</v>
      </c>
      <c r="C773" s="9">
        <v>0.51</v>
      </c>
    </row>
    <row r="774" spans="1:3" x14ac:dyDescent="0.2">
      <c r="A774" s="9"/>
      <c r="B774" s="9" t="s">
        <v>404</v>
      </c>
      <c r="C774" s="9">
        <v>0.62</v>
      </c>
    </row>
    <row r="775" spans="1:3" x14ac:dyDescent="0.2">
      <c r="A775" s="9"/>
      <c r="B775" s="9" t="s">
        <v>1179</v>
      </c>
      <c r="C775" s="9">
        <v>0.47</v>
      </c>
    </row>
    <row r="776" spans="1:3" x14ac:dyDescent="0.2">
      <c r="A776" s="9"/>
      <c r="B776" s="9" t="s">
        <v>405</v>
      </c>
      <c r="C776" s="9">
        <v>0.55000000000000004</v>
      </c>
    </row>
    <row r="777" spans="1:3" x14ac:dyDescent="0.2">
      <c r="A777" s="9"/>
      <c r="B777" s="9" t="s">
        <v>1180</v>
      </c>
      <c r="C777" s="9">
        <v>0.59</v>
      </c>
    </row>
    <row r="778" spans="1:3" x14ac:dyDescent="0.2">
      <c r="A778" s="9" t="s">
        <v>457</v>
      </c>
      <c r="B778" s="9" t="s">
        <v>1181</v>
      </c>
      <c r="C778" s="9">
        <v>0.7</v>
      </c>
    </row>
    <row r="779" spans="1:3" x14ac:dyDescent="0.2">
      <c r="A779" s="9" t="s">
        <v>1182</v>
      </c>
      <c r="B779" s="9" t="s">
        <v>1183</v>
      </c>
      <c r="C779" s="9">
        <v>0.55000000000000004</v>
      </c>
    </row>
    <row r="780" spans="1:3" x14ac:dyDescent="0.2">
      <c r="A780" s="9"/>
      <c r="B780" s="9" t="s">
        <v>1184</v>
      </c>
      <c r="C780" s="9">
        <v>0.51</v>
      </c>
    </row>
    <row r="781" spans="1:3" x14ac:dyDescent="0.2">
      <c r="A781" s="9"/>
      <c r="B781" s="9" t="s">
        <v>1185</v>
      </c>
      <c r="C781" s="9">
        <v>0.6</v>
      </c>
    </row>
    <row r="782" spans="1:3" x14ac:dyDescent="0.2">
      <c r="A782" s="9"/>
      <c r="B782" s="9" t="s">
        <v>1186</v>
      </c>
      <c r="C782" s="9">
        <v>0.47</v>
      </c>
    </row>
    <row r="783" spans="1:3" x14ac:dyDescent="0.2">
      <c r="A783" s="9"/>
      <c r="B783" s="9" t="s">
        <v>1187</v>
      </c>
      <c r="C783" s="9">
        <v>0.56000000000000005</v>
      </c>
    </row>
    <row r="784" spans="1:3" x14ac:dyDescent="0.2">
      <c r="A784" s="9"/>
      <c r="B784" s="9" t="s">
        <v>1188</v>
      </c>
      <c r="C784" s="9">
        <v>0.62</v>
      </c>
    </row>
    <row r="785" spans="1:3" x14ac:dyDescent="0.2">
      <c r="A785" s="9"/>
      <c r="B785" s="9" t="s">
        <v>1189</v>
      </c>
      <c r="C785" s="9">
        <v>0.54</v>
      </c>
    </row>
    <row r="786" spans="1:3" x14ac:dyDescent="0.2">
      <c r="A786" s="9"/>
      <c r="B786" s="9" t="s">
        <v>1190</v>
      </c>
      <c r="C786" s="9">
        <v>0.48</v>
      </c>
    </row>
    <row r="787" spans="1:3" x14ac:dyDescent="0.2">
      <c r="A787" s="9"/>
      <c r="B787" s="9" t="s">
        <v>1191</v>
      </c>
      <c r="C787" s="9">
        <v>0.54</v>
      </c>
    </row>
    <row r="788" spans="1:3" x14ac:dyDescent="0.2">
      <c r="A788" s="9"/>
      <c r="B788" s="9" t="s">
        <v>1192</v>
      </c>
      <c r="C788" s="9">
        <v>0.5</v>
      </c>
    </row>
    <row r="789" spans="1:3" x14ac:dyDescent="0.2">
      <c r="A789" s="9"/>
      <c r="B789" s="9" t="s">
        <v>1193</v>
      </c>
      <c r="C789" s="9">
        <v>0.55000000000000004</v>
      </c>
    </row>
    <row r="790" spans="1:3" x14ac:dyDescent="0.2">
      <c r="A790" s="9"/>
      <c r="B790" s="9" t="s">
        <v>1194</v>
      </c>
      <c r="C790" s="9">
        <v>0.53</v>
      </c>
    </row>
    <row r="791" spans="1:3" x14ac:dyDescent="0.2">
      <c r="A791" s="9"/>
      <c r="B791" s="9" t="s">
        <v>1195</v>
      </c>
      <c r="C791" s="9">
        <v>0.49</v>
      </c>
    </row>
    <row r="792" spans="1:3" x14ac:dyDescent="0.2">
      <c r="A792" s="9"/>
      <c r="B792" s="9" t="s">
        <v>1196</v>
      </c>
      <c r="C792" s="9">
        <v>0.51</v>
      </c>
    </row>
    <row r="793" spans="1:3" x14ac:dyDescent="0.2">
      <c r="A793" s="9"/>
      <c r="B793" s="9" t="s">
        <v>1197</v>
      </c>
      <c r="C793" s="9">
        <v>0.53</v>
      </c>
    </row>
    <row r="794" spans="1:3" x14ac:dyDescent="0.2">
      <c r="A794" s="9"/>
      <c r="B794" s="9" t="s">
        <v>1198</v>
      </c>
      <c r="C794" s="9">
        <v>0.46</v>
      </c>
    </row>
    <row r="795" spans="1:3" x14ac:dyDescent="0.2">
      <c r="A795" s="9"/>
      <c r="B795" s="9" t="s">
        <v>1199</v>
      </c>
      <c r="C795" s="9">
        <v>0.49</v>
      </c>
    </row>
    <row r="796" spans="1:3" x14ac:dyDescent="0.2">
      <c r="A796" s="9"/>
      <c r="B796" s="9" t="s">
        <v>1200</v>
      </c>
      <c r="C796" s="9">
        <v>0.47</v>
      </c>
    </row>
    <row r="797" spans="1:3" x14ac:dyDescent="0.2">
      <c r="A797" s="9"/>
      <c r="B797" s="9" t="s">
        <v>1201</v>
      </c>
      <c r="C797" s="9">
        <v>0.53</v>
      </c>
    </row>
    <row r="798" spans="1:3" x14ac:dyDescent="0.2">
      <c r="A798" s="9"/>
      <c r="B798" s="9" t="s">
        <v>1202</v>
      </c>
      <c r="C798" s="9">
        <v>0.49</v>
      </c>
    </row>
    <row r="799" spans="1:3" x14ac:dyDescent="0.2">
      <c r="A799" s="9"/>
      <c r="B799" s="9" t="s">
        <v>1203</v>
      </c>
      <c r="C799" s="9">
        <v>0.44</v>
      </c>
    </row>
    <row r="800" spans="1:3" x14ac:dyDescent="0.2">
      <c r="A800" s="9" t="s">
        <v>1204</v>
      </c>
      <c r="B800" s="9" t="s">
        <v>1205</v>
      </c>
      <c r="C800" s="9">
        <v>0.41</v>
      </c>
    </row>
    <row r="801" spans="1:3" x14ac:dyDescent="0.2">
      <c r="A801" s="9"/>
      <c r="B801" s="9" t="s">
        <v>1206</v>
      </c>
      <c r="C801" s="9">
        <v>0.32</v>
      </c>
    </row>
    <row r="802" spans="1:3" x14ac:dyDescent="0.2">
      <c r="A802" s="9"/>
      <c r="B802" s="9" t="s">
        <v>1207</v>
      </c>
      <c r="C802" s="9">
        <v>0.35</v>
      </c>
    </row>
    <row r="803" spans="1:3" x14ac:dyDescent="0.2">
      <c r="A803" s="9"/>
      <c r="B803" s="9" t="s">
        <v>1208</v>
      </c>
      <c r="C803" s="9">
        <v>0.42</v>
      </c>
    </row>
    <row r="804" spans="1:3" x14ac:dyDescent="0.2">
      <c r="A804" s="9"/>
      <c r="B804" s="9" t="s">
        <v>1209</v>
      </c>
      <c r="C804" s="9">
        <v>0.38</v>
      </c>
    </row>
    <row r="805" spans="1:3" x14ac:dyDescent="0.2">
      <c r="A805" s="9"/>
      <c r="B805" s="9" t="s">
        <v>1210</v>
      </c>
      <c r="C805" s="9">
        <v>0.36</v>
      </c>
    </row>
    <row r="806" spans="1:3" x14ac:dyDescent="0.2">
      <c r="A806" s="9" t="s">
        <v>1211</v>
      </c>
      <c r="B806" s="9" t="s">
        <v>1212</v>
      </c>
      <c r="C806" s="9">
        <v>0.6</v>
      </c>
    </row>
    <row r="807" spans="1:3" x14ac:dyDescent="0.2">
      <c r="A807" s="9"/>
      <c r="B807" s="9" t="s">
        <v>1213</v>
      </c>
      <c r="C807" s="9">
        <v>0.49</v>
      </c>
    </row>
    <row r="808" spans="1:3" x14ac:dyDescent="0.2">
      <c r="A808" s="9"/>
      <c r="B808" s="9" t="s">
        <v>1214</v>
      </c>
      <c r="C808" s="9">
        <v>0.57999999999999996</v>
      </c>
    </row>
    <row r="809" spans="1:3" x14ac:dyDescent="0.2">
      <c r="A809" s="9" t="s">
        <v>1215</v>
      </c>
      <c r="B809" s="9" t="s">
        <v>1216</v>
      </c>
      <c r="C809" s="9">
        <v>0.44</v>
      </c>
    </row>
    <row r="810" spans="1:3" x14ac:dyDescent="0.2">
      <c r="A810" s="9"/>
      <c r="B810" s="9" t="s">
        <v>1217</v>
      </c>
      <c r="C810" s="9">
        <v>0.39</v>
      </c>
    </row>
    <row r="811" spans="1:3" x14ac:dyDescent="0.2">
      <c r="A811" s="9"/>
      <c r="B811" s="9" t="s">
        <v>1218</v>
      </c>
      <c r="C811" s="9">
        <v>0.43</v>
      </c>
    </row>
    <row r="812" spans="1:3" x14ac:dyDescent="0.2">
      <c r="A812" s="9"/>
      <c r="B812" s="9" t="s">
        <v>1219</v>
      </c>
      <c r="C812" s="9">
        <v>0.41</v>
      </c>
    </row>
    <row r="813" spans="1:3" x14ac:dyDescent="0.2">
      <c r="A813" s="9"/>
      <c r="B813" s="9" t="s">
        <v>1220</v>
      </c>
      <c r="C813" s="9">
        <v>0.41</v>
      </c>
    </row>
    <row r="814" spans="1:3" x14ac:dyDescent="0.2">
      <c r="A814" s="9"/>
      <c r="B814" s="9" t="s">
        <v>1221</v>
      </c>
      <c r="C814" s="9">
        <v>0.42</v>
      </c>
    </row>
    <row r="815" spans="1:3" x14ac:dyDescent="0.2">
      <c r="A815" s="9"/>
      <c r="B815" s="9" t="s">
        <v>1222</v>
      </c>
      <c r="C815" s="9">
        <v>0.43</v>
      </c>
    </row>
    <row r="816" spans="1:3" x14ac:dyDescent="0.2">
      <c r="A816" s="9"/>
      <c r="B816" s="9" t="s">
        <v>1223</v>
      </c>
      <c r="C816" s="9">
        <v>0.47</v>
      </c>
    </row>
    <row r="817" spans="1:3" x14ac:dyDescent="0.2">
      <c r="A817" s="9"/>
      <c r="B817" s="9" t="s">
        <v>1224</v>
      </c>
      <c r="C817" s="9">
        <v>0.43</v>
      </c>
    </row>
    <row r="818" spans="1:3" x14ac:dyDescent="0.2">
      <c r="A818" s="9"/>
      <c r="B818" s="9" t="s">
        <v>1225</v>
      </c>
      <c r="C818" s="9">
        <v>0.43</v>
      </c>
    </row>
    <row r="819" spans="1:3" x14ac:dyDescent="0.2">
      <c r="A819" s="9" t="s">
        <v>1226</v>
      </c>
      <c r="B819" s="9" t="s">
        <v>1227</v>
      </c>
      <c r="C819" s="9">
        <v>0.66</v>
      </c>
    </row>
    <row r="820" spans="1:3" x14ac:dyDescent="0.2">
      <c r="A820" s="9"/>
      <c r="B820" s="9" t="s">
        <v>1228</v>
      </c>
      <c r="C820" s="9">
        <v>0.63</v>
      </c>
    </row>
    <row r="821" spans="1:3" x14ac:dyDescent="0.2">
      <c r="A821" s="9"/>
      <c r="B821" s="9" t="s">
        <v>1229</v>
      </c>
      <c r="C821" s="9">
        <v>0.61</v>
      </c>
    </row>
    <row r="822" spans="1:3" x14ac:dyDescent="0.2">
      <c r="A822" s="9"/>
      <c r="B822" s="9" t="s">
        <v>1230</v>
      </c>
      <c r="C822" s="9">
        <v>0.68</v>
      </c>
    </row>
    <row r="823" spans="1:3" x14ac:dyDescent="0.2">
      <c r="A823" s="9"/>
      <c r="B823" s="9" t="s">
        <v>1231</v>
      </c>
      <c r="C823" s="9">
        <v>0.68</v>
      </c>
    </row>
    <row r="824" spans="1:3" x14ac:dyDescent="0.2">
      <c r="A824" s="9"/>
      <c r="B824" s="9" t="s">
        <v>1232</v>
      </c>
      <c r="C824" s="9">
        <v>0.65</v>
      </c>
    </row>
    <row r="825" spans="1:3" x14ac:dyDescent="0.2">
      <c r="A825" s="9"/>
      <c r="B825" s="9" t="s">
        <v>1233</v>
      </c>
      <c r="C825" s="9">
        <v>0.71</v>
      </c>
    </row>
    <row r="826" spans="1:3" x14ac:dyDescent="0.2">
      <c r="A826" s="9"/>
      <c r="B826" s="9" t="s">
        <v>1234</v>
      </c>
      <c r="C826" s="9">
        <v>0.68</v>
      </c>
    </row>
    <row r="827" spans="1:3" x14ac:dyDescent="0.2">
      <c r="A827" s="9"/>
      <c r="B827" s="9" t="s">
        <v>1235</v>
      </c>
      <c r="C827" s="9">
        <v>0.72</v>
      </c>
    </row>
    <row r="828" spans="1:3" x14ac:dyDescent="0.2">
      <c r="A828" s="9"/>
      <c r="B828" s="9" t="s">
        <v>1236</v>
      </c>
      <c r="C828" s="9">
        <v>0.67</v>
      </c>
    </row>
    <row r="829" spans="1:3" x14ac:dyDescent="0.2">
      <c r="A829" s="9"/>
      <c r="B829" s="9" t="s">
        <v>1237</v>
      </c>
      <c r="C829" s="9">
        <v>0.69</v>
      </c>
    </row>
    <row r="830" spans="1:3" x14ac:dyDescent="0.2">
      <c r="A830" s="9" t="s">
        <v>465</v>
      </c>
      <c r="B830" s="9" t="s">
        <v>1238</v>
      </c>
      <c r="C830" s="9">
        <v>0.4</v>
      </c>
    </row>
    <row r="831" spans="1:3" x14ac:dyDescent="0.2">
      <c r="A831" s="9"/>
      <c r="B831" s="9" t="s">
        <v>1239</v>
      </c>
      <c r="C831" s="9">
        <v>0.41</v>
      </c>
    </row>
    <row r="832" spans="1:3" x14ac:dyDescent="0.2">
      <c r="A832" s="9"/>
      <c r="B832" s="9" t="s">
        <v>1240</v>
      </c>
      <c r="C832" s="9">
        <v>0.4</v>
      </c>
    </row>
    <row r="833" spans="1:3" x14ac:dyDescent="0.2">
      <c r="A833" s="9"/>
      <c r="B833" s="9" t="s">
        <v>1241</v>
      </c>
      <c r="C833" s="9">
        <v>0.44</v>
      </c>
    </row>
    <row r="834" spans="1:3" x14ac:dyDescent="0.2">
      <c r="A834" s="9"/>
      <c r="B834" s="9" t="s">
        <v>1242</v>
      </c>
      <c r="C834" s="9">
        <v>0.44</v>
      </c>
    </row>
    <row r="835" spans="1:3" x14ac:dyDescent="0.2">
      <c r="A835" s="9"/>
      <c r="B835" s="9" t="s">
        <v>1243</v>
      </c>
      <c r="C835" s="9">
        <v>0.43</v>
      </c>
    </row>
    <row r="836" spans="1:3" x14ac:dyDescent="0.2">
      <c r="A836" s="9"/>
      <c r="B836" s="9" t="s">
        <v>1244</v>
      </c>
      <c r="C836" s="9">
        <v>0.46</v>
      </c>
    </row>
    <row r="837" spans="1:3" x14ac:dyDescent="0.2">
      <c r="A837" s="9"/>
      <c r="B837" s="9" t="s">
        <v>1245</v>
      </c>
      <c r="C837" s="9">
        <v>0.44</v>
      </c>
    </row>
    <row r="838" spans="1:3" x14ac:dyDescent="0.2">
      <c r="A838" s="9" t="s">
        <v>466</v>
      </c>
      <c r="B838" s="9" t="s">
        <v>1246</v>
      </c>
      <c r="C838" s="9">
        <v>0.56000000000000005</v>
      </c>
    </row>
    <row r="839" spans="1:3" x14ac:dyDescent="0.2">
      <c r="A839" s="9"/>
      <c r="B839" s="9" t="s">
        <v>1247</v>
      </c>
      <c r="C839" s="9">
        <v>0.57999999999999996</v>
      </c>
    </row>
    <row r="840" spans="1:3" x14ac:dyDescent="0.2">
      <c r="A840" s="9"/>
      <c r="B840" s="9" t="s">
        <v>1248</v>
      </c>
      <c r="C840" s="9">
        <v>0.48</v>
      </c>
    </row>
    <row r="841" spans="1:3" x14ac:dyDescent="0.2">
      <c r="A841" s="9"/>
      <c r="B841" s="9" t="s">
        <v>1249</v>
      </c>
      <c r="C841" s="9">
        <v>0.68</v>
      </c>
    </row>
    <row r="842" spans="1:3" x14ac:dyDescent="0.2">
      <c r="A842" s="9"/>
      <c r="B842" s="9" t="s">
        <v>1250</v>
      </c>
      <c r="C842" s="9">
        <v>0.41</v>
      </c>
    </row>
    <row r="843" spans="1:3" x14ac:dyDescent="0.2">
      <c r="A843" s="9"/>
      <c r="B843" s="9" t="s">
        <v>1251</v>
      </c>
      <c r="C843" s="9">
        <v>0.48</v>
      </c>
    </row>
    <row r="844" spans="1:3" x14ac:dyDescent="0.2">
      <c r="A844" s="9"/>
      <c r="B844" s="9" t="s">
        <v>1252</v>
      </c>
      <c r="C844" s="9">
        <v>0.44</v>
      </c>
    </row>
    <row r="845" spans="1:3" x14ac:dyDescent="0.2">
      <c r="A845" s="9"/>
      <c r="B845" s="9" t="s">
        <v>1253</v>
      </c>
      <c r="C845" s="9">
        <v>0.56999999999999995</v>
      </c>
    </row>
    <row r="846" spans="1:3" x14ac:dyDescent="0.2">
      <c r="A846" s="9"/>
      <c r="B846" s="9" t="s">
        <v>1254</v>
      </c>
      <c r="C846" s="9">
        <v>0.4</v>
      </c>
    </row>
    <row r="847" spans="1:3" x14ac:dyDescent="0.2">
      <c r="A847" s="9"/>
      <c r="B847" s="9" t="s">
        <v>1255</v>
      </c>
      <c r="C847" s="9">
        <v>0.52</v>
      </c>
    </row>
    <row r="848" spans="1:3" x14ac:dyDescent="0.2">
      <c r="A848" s="9"/>
      <c r="B848" s="9" t="s">
        <v>1256</v>
      </c>
      <c r="C848" s="9">
        <v>0.53</v>
      </c>
    </row>
    <row r="849" spans="1:3" x14ac:dyDescent="0.2">
      <c r="A849" s="9"/>
      <c r="B849" s="9" t="s">
        <v>1257</v>
      </c>
      <c r="C849" s="9">
        <v>0.44</v>
      </c>
    </row>
    <row r="850" spans="1:3" x14ac:dyDescent="0.2">
      <c r="A850" s="9"/>
      <c r="B850" s="9" t="s">
        <v>1258</v>
      </c>
      <c r="C850" s="9">
        <v>0.48</v>
      </c>
    </row>
    <row r="851" spans="1:3" x14ac:dyDescent="0.2">
      <c r="A851" s="9"/>
      <c r="B851" s="9" t="s">
        <v>1259</v>
      </c>
      <c r="C851" s="9">
        <v>0.67</v>
      </c>
    </row>
    <row r="852" spans="1:3" x14ac:dyDescent="0.2">
      <c r="A852" s="9"/>
      <c r="B852" s="9" t="s">
        <v>1260</v>
      </c>
      <c r="C852" s="9">
        <v>0.53</v>
      </c>
    </row>
    <row r="853" spans="1:3" x14ac:dyDescent="0.2">
      <c r="A853" s="9"/>
      <c r="B853" s="9" t="s">
        <v>1261</v>
      </c>
      <c r="C853" s="9">
        <v>0.53</v>
      </c>
    </row>
    <row r="854" spans="1:3" x14ac:dyDescent="0.2">
      <c r="A854" s="9"/>
      <c r="B854" s="9" t="s">
        <v>1262</v>
      </c>
      <c r="C854" s="9">
        <v>0.5</v>
      </c>
    </row>
    <row r="855" spans="1:3" x14ac:dyDescent="0.2">
      <c r="A855" s="9"/>
      <c r="B855" s="9" t="s">
        <v>1263</v>
      </c>
      <c r="C855" s="9">
        <v>0.53</v>
      </c>
    </row>
    <row r="856" spans="1:3" x14ac:dyDescent="0.2">
      <c r="A856" s="9"/>
      <c r="B856" s="9" t="s">
        <v>1264</v>
      </c>
      <c r="C856" s="9">
        <v>0.46</v>
      </c>
    </row>
    <row r="857" spans="1:3" x14ac:dyDescent="0.2">
      <c r="A857" s="9"/>
      <c r="B857" s="9" t="s">
        <v>1265</v>
      </c>
      <c r="C857" s="9">
        <v>0.46</v>
      </c>
    </row>
    <row r="858" spans="1:3" x14ac:dyDescent="0.2">
      <c r="A858" s="9"/>
      <c r="B858" s="9" t="s">
        <v>1266</v>
      </c>
      <c r="C858" s="9">
        <v>0.5</v>
      </c>
    </row>
    <row r="859" spans="1:3" x14ac:dyDescent="0.2">
      <c r="A859" s="9"/>
      <c r="B859" s="9" t="s">
        <v>1267</v>
      </c>
      <c r="C859" s="9">
        <v>0.48</v>
      </c>
    </row>
    <row r="860" spans="1:3" x14ac:dyDescent="0.2">
      <c r="A860" s="9"/>
      <c r="B860" s="9" t="s">
        <v>1268</v>
      </c>
      <c r="C860" s="9">
        <v>0.46</v>
      </c>
    </row>
    <row r="861" spans="1:3" x14ac:dyDescent="0.2">
      <c r="A861" s="9"/>
      <c r="B861" s="9" t="s">
        <v>1269</v>
      </c>
      <c r="C861" s="9">
        <v>0.49</v>
      </c>
    </row>
    <row r="862" spans="1:3" x14ac:dyDescent="0.2">
      <c r="A862" s="9"/>
      <c r="B862" s="9" t="s">
        <v>1270</v>
      </c>
      <c r="C862" s="9">
        <v>0.52</v>
      </c>
    </row>
    <row r="863" spans="1:3" x14ac:dyDescent="0.2">
      <c r="A863" s="9"/>
      <c r="B863" s="9" t="s">
        <v>1271</v>
      </c>
      <c r="C863" s="9">
        <v>0.49</v>
      </c>
    </row>
    <row r="864" spans="1:3" x14ac:dyDescent="0.2">
      <c r="A864" s="9"/>
      <c r="B864" s="9" t="s">
        <v>1272</v>
      </c>
      <c r="C864" s="9">
        <v>0.53</v>
      </c>
    </row>
    <row r="865" spans="1:3" x14ac:dyDescent="0.2">
      <c r="A865" s="9"/>
      <c r="B865" s="9" t="s">
        <v>1273</v>
      </c>
      <c r="C865" s="9">
        <v>0.45</v>
      </c>
    </row>
    <row r="866" spans="1:3" x14ac:dyDescent="0.2">
      <c r="A866" s="9"/>
      <c r="B866" s="9" t="s">
        <v>1274</v>
      </c>
      <c r="C866" s="9">
        <v>0.44</v>
      </c>
    </row>
    <row r="867" spans="1:3" x14ac:dyDescent="0.2">
      <c r="A867" s="9"/>
      <c r="B867" s="9" t="s">
        <v>1275</v>
      </c>
      <c r="C867" s="9">
        <v>0.49</v>
      </c>
    </row>
    <row r="868" spans="1:3" x14ac:dyDescent="0.2">
      <c r="A868" s="9"/>
      <c r="B868" s="9" t="s">
        <v>1276</v>
      </c>
      <c r="C868" s="9">
        <v>0.43</v>
      </c>
    </row>
    <row r="869" spans="1:3" x14ac:dyDescent="0.2">
      <c r="A869" s="9"/>
      <c r="B869" s="9" t="s">
        <v>1277</v>
      </c>
      <c r="C869" s="9">
        <v>0.42</v>
      </c>
    </row>
    <row r="870" spans="1:3" x14ac:dyDescent="0.2">
      <c r="A870" s="9"/>
      <c r="B870" s="9" t="s">
        <v>1278</v>
      </c>
      <c r="C870" s="9">
        <v>0.4</v>
      </c>
    </row>
    <row r="871" spans="1:3" x14ac:dyDescent="0.2">
      <c r="A871" s="9"/>
      <c r="B871" s="9" t="s">
        <v>1279</v>
      </c>
      <c r="C871" s="9">
        <v>0.41</v>
      </c>
    </row>
    <row r="872" spans="1:3" x14ac:dyDescent="0.2">
      <c r="A872" s="9"/>
      <c r="B872" s="9" t="s">
        <v>1280</v>
      </c>
      <c r="C872" s="9">
        <v>0.38</v>
      </c>
    </row>
    <row r="873" spans="1:3" x14ac:dyDescent="0.2">
      <c r="A873" s="9"/>
      <c r="B873" s="9" t="s">
        <v>1281</v>
      </c>
      <c r="C873" s="9">
        <v>0.47</v>
      </c>
    </row>
    <row r="874" spans="1:3" x14ac:dyDescent="0.2">
      <c r="A874" s="9"/>
      <c r="B874" s="9" t="s">
        <v>1282</v>
      </c>
      <c r="C874" s="9">
        <v>0.44</v>
      </c>
    </row>
    <row r="875" spans="1:3" x14ac:dyDescent="0.2">
      <c r="A875" s="9"/>
      <c r="B875" s="9" t="s">
        <v>1283</v>
      </c>
      <c r="C875" s="9">
        <v>0.55000000000000004</v>
      </c>
    </row>
    <row r="876" spans="1:3" x14ac:dyDescent="0.2">
      <c r="A876" s="9"/>
      <c r="B876" s="9" t="s">
        <v>1284</v>
      </c>
      <c r="C876" s="9">
        <v>0.43</v>
      </c>
    </row>
    <row r="877" spans="1:3" x14ac:dyDescent="0.2">
      <c r="A877" s="9"/>
      <c r="B877" s="9" t="s">
        <v>1285</v>
      </c>
      <c r="C877" s="9">
        <v>0.57999999999999996</v>
      </c>
    </row>
    <row r="878" spans="1:3" x14ac:dyDescent="0.2">
      <c r="A878" s="9"/>
      <c r="B878" s="9" t="s">
        <v>1286</v>
      </c>
      <c r="C878" s="9">
        <v>0.41</v>
      </c>
    </row>
    <row r="879" spans="1:3" x14ac:dyDescent="0.2">
      <c r="A879" s="9"/>
      <c r="B879" s="9" t="s">
        <v>1287</v>
      </c>
      <c r="C879" s="9">
        <v>0.55000000000000004</v>
      </c>
    </row>
    <row r="880" spans="1:3" x14ac:dyDescent="0.2">
      <c r="A880" s="9"/>
      <c r="B880" s="9" t="s">
        <v>1288</v>
      </c>
      <c r="C880" s="9">
        <v>0.49</v>
      </c>
    </row>
    <row r="881" spans="1:3" x14ac:dyDescent="0.2">
      <c r="A881" s="9"/>
      <c r="B881" s="9" t="s">
        <v>1289</v>
      </c>
      <c r="C881" s="9">
        <v>0.48</v>
      </c>
    </row>
    <row r="882" spans="1:3" x14ac:dyDescent="0.2">
      <c r="A882" s="9"/>
      <c r="B882" s="9" t="s">
        <v>1290</v>
      </c>
      <c r="C882" s="9">
        <v>0.6</v>
      </c>
    </row>
    <row r="883" spans="1:3" x14ac:dyDescent="0.2">
      <c r="A883" s="9"/>
      <c r="B883" s="9" t="s">
        <v>1291</v>
      </c>
      <c r="C883" s="9">
        <v>0.48</v>
      </c>
    </row>
    <row r="884" spans="1:3" x14ac:dyDescent="0.2">
      <c r="A884" s="9"/>
      <c r="B884" s="9" t="s">
        <v>1292</v>
      </c>
      <c r="C884" s="9">
        <v>0.37</v>
      </c>
    </row>
    <row r="885" spans="1:3" x14ac:dyDescent="0.2">
      <c r="A885" s="9"/>
      <c r="B885" s="9" t="s">
        <v>1293</v>
      </c>
      <c r="C885" s="9">
        <v>0.48</v>
      </c>
    </row>
    <row r="886" spans="1:3" x14ac:dyDescent="0.2">
      <c r="A886" s="9"/>
      <c r="B886" s="9" t="s">
        <v>1294</v>
      </c>
      <c r="C886" s="9">
        <v>0.44</v>
      </c>
    </row>
    <row r="887" spans="1:3" x14ac:dyDescent="0.2">
      <c r="A887" s="9"/>
      <c r="B887" s="9" t="s">
        <v>1295</v>
      </c>
      <c r="C887" s="9">
        <v>0.43</v>
      </c>
    </row>
    <row r="888" spans="1:3" x14ac:dyDescent="0.2">
      <c r="A888" s="9"/>
      <c r="B888" s="9" t="s">
        <v>1296</v>
      </c>
      <c r="C888" s="9">
        <v>0.49</v>
      </c>
    </row>
    <row r="889" spans="1:3" x14ac:dyDescent="0.2">
      <c r="A889" s="9"/>
      <c r="B889" s="9" t="s">
        <v>1297</v>
      </c>
      <c r="C889" s="9">
        <v>0.45</v>
      </c>
    </row>
    <row r="890" spans="1:3" x14ac:dyDescent="0.2">
      <c r="A890" s="9"/>
      <c r="B890" s="9" t="s">
        <v>1298</v>
      </c>
      <c r="C890" s="9">
        <v>0.52</v>
      </c>
    </row>
    <row r="891" spans="1:3" x14ac:dyDescent="0.2">
      <c r="A891" s="9"/>
      <c r="B891" s="9" t="s">
        <v>1299</v>
      </c>
      <c r="C891" s="9">
        <v>0.45</v>
      </c>
    </row>
    <row r="892" spans="1:3" x14ac:dyDescent="0.2">
      <c r="A892" s="9"/>
      <c r="B892" s="9" t="s">
        <v>1300</v>
      </c>
      <c r="C892" s="9">
        <v>0.45</v>
      </c>
    </row>
    <row r="893" spans="1:3" x14ac:dyDescent="0.2">
      <c r="A893" s="9"/>
      <c r="B893" s="9" t="s">
        <v>1301</v>
      </c>
      <c r="C893" s="9">
        <v>0.4</v>
      </c>
    </row>
    <row r="894" spans="1:3" x14ac:dyDescent="0.2">
      <c r="A894" s="9"/>
      <c r="B894" s="9" t="s">
        <v>1302</v>
      </c>
      <c r="C894" s="9">
        <v>0.45</v>
      </c>
    </row>
    <row r="895" spans="1:3" x14ac:dyDescent="0.2">
      <c r="A895" s="9"/>
      <c r="B895" s="9" t="s">
        <v>1303</v>
      </c>
      <c r="C895" s="9">
        <v>0.47</v>
      </c>
    </row>
    <row r="896" spans="1:3" x14ac:dyDescent="0.2">
      <c r="A896" s="9"/>
      <c r="B896" s="9" t="s">
        <v>1304</v>
      </c>
      <c r="C896" s="9">
        <v>0.53</v>
      </c>
    </row>
    <row r="897" spans="1:3" x14ac:dyDescent="0.2">
      <c r="A897" s="9"/>
      <c r="B897" s="9" t="s">
        <v>1305</v>
      </c>
      <c r="C897" s="9">
        <v>0.59</v>
      </c>
    </row>
    <row r="898" spans="1:3" x14ac:dyDescent="0.2">
      <c r="A898" s="9"/>
      <c r="B898" s="9" t="s">
        <v>1306</v>
      </c>
      <c r="C898" s="9">
        <v>0.54</v>
      </c>
    </row>
    <row r="899" spans="1:3" x14ac:dyDescent="0.2">
      <c r="A899" s="9" t="s">
        <v>467</v>
      </c>
      <c r="B899" s="9" t="s">
        <v>1307</v>
      </c>
      <c r="C899" s="9">
        <v>0.55000000000000004</v>
      </c>
    </row>
    <row r="900" spans="1:3" x14ac:dyDescent="0.2">
      <c r="A900" s="9"/>
      <c r="B900" s="9" t="s">
        <v>1308</v>
      </c>
      <c r="C900" s="9">
        <v>0.7</v>
      </c>
    </row>
    <row r="901" spans="1:3" x14ac:dyDescent="0.2">
      <c r="A901" s="9"/>
      <c r="B901" s="9" t="s">
        <v>1309</v>
      </c>
      <c r="C901" s="9">
        <v>0.6</v>
      </c>
    </row>
    <row r="902" spans="1:3" x14ac:dyDescent="0.2">
      <c r="A902" s="9"/>
      <c r="B902" s="9" t="s">
        <v>1310</v>
      </c>
      <c r="C902" s="9">
        <v>0.6</v>
      </c>
    </row>
    <row r="903" spans="1:3" x14ac:dyDescent="0.2">
      <c r="A903" s="9"/>
      <c r="B903" s="9" t="s">
        <v>1311</v>
      </c>
      <c r="C903" s="9">
        <v>0.5</v>
      </c>
    </row>
    <row r="904" spans="1:3" x14ac:dyDescent="0.2">
      <c r="A904" s="9"/>
      <c r="B904" s="9" t="s">
        <v>1312</v>
      </c>
      <c r="C904" s="9">
        <v>0.54</v>
      </c>
    </row>
    <row r="905" spans="1:3" x14ac:dyDescent="0.2">
      <c r="A905" s="9"/>
      <c r="B905" s="9" t="s">
        <v>1313</v>
      </c>
      <c r="C905" s="9">
        <v>0.62</v>
      </c>
    </row>
    <row r="906" spans="1:3" x14ac:dyDescent="0.2">
      <c r="A906" s="9"/>
      <c r="B906" s="9" t="s">
        <v>1314</v>
      </c>
      <c r="C906" s="9">
        <v>0.55000000000000004</v>
      </c>
    </row>
    <row r="907" spans="1:3" x14ac:dyDescent="0.2">
      <c r="A907" s="9"/>
      <c r="B907" s="9" t="s">
        <v>1315</v>
      </c>
      <c r="C907" s="9">
        <v>0.56000000000000005</v>
      </c>
    </row>
    <row r="908" spans="1:3" x14ac:dyDescent="0.2">
      <c r="A908" s="9"/>
      <c r="B908" s="9" t="s">
        <v>1316</v>
      </c>
      <c r="C908" s="9">
        <v>0.49</v>
      </c>
    </row>
    <row r="909" spans="1:3" x14ac:dyDescent="0.2">
      <c r="A909" s="9"/>
      <c r="B909" s="9" t="s">
        <v>1317</v>
      </c>
      <c r="C909" s="9">
        <v>0.61</v>
      </c>
    </row>
    <row r="910" spans="1:3" x14ac:dyDescent="0.2">
      <c r="A910" s="9"/>
      <c r="B910" s="9" t="s">
        <v>1318</v>
      </c>
      <c r="C910" s="9">
        <v>0.55000000000000004</v>
      </c>
    </row>
    <row r="911" spans="1:3" x14ac:dyDescent="0.2">
      <c r="A911" s="9"/>
      <c r="B911" s="9" t="s">
        <v>1319</v>
      </c>
      <c r="C911" s="9">
        <v>0.56000000000000005</v>
      </c>
    </row>
    <row r="912" spans="1:3" x14ac:dyDescent="0.2">
      <c r="A912" s="9" t="s">
        <v>468</v>
      </c>
      <c r="B912" s="9" t="s">
        <v>1320</v>
      </c>
      <c r="C912" s="9">
        <v>0.61</v>
      </c>
    </row>
    <row r="913" spans="1:3" x14ac:dyDescent="0.2">
      <c r="A913" s="9"/>
      <c r="B913" s="9" t="s">
        <v>1321</v>
      </c>
      <c r="C913" s="9">
        <v>0.56000000000000005</v>
      </c>
    </row>
    <row r="914" spans="1:3" x14ac:dyDescent="0.2">
      <c r="A914" s="9"/>
      <c r="B914" s="9" t="s">
        <v>1322</v>
      </c>
      <c r="C914" s="9">
        <v>0.54</v>
      </c>
    </row>
    <row r="915" spans="1:3" x14ac:dyDescent="0.2">
      <c r="A915" s="9"/>
      <c r="B915" s="9" t="s">
        <v>1323</v>
      </c>
      <c r="C915" s="9">
        <v>0.51</v>
      </c>
    </row>
    <row r="916" spans="1:3" x14ac:dyDescent="0.2">
      <c r="A916" s="9" t="s">
        <v>469</v>
      </c>
      <c r="B916" s="9" t="s">
        <v>1324</v>
      </c>
      <c r="C916" s="9">
        <v>0.43</v>
      </c>
    </row>
    <row r="917" spans="1:3" x14ac:dyDescent="0.2">
      <c r="A917" s="9"/>
      <c r="B917" s="9" t="s">
        <v>1325</v>
      </c>
      <c r="C917" s="9">
        <v>0.41</v>
      </c>
    </row>
    <row r="918" spans="1:3" x14ac:dyDescent="0.2">
      <c r="A918" s="9"/>
      <c r="B918" s="9" t="s">
        <v>1326</v>
      </c>
      <c r="C918" s="9">
        <v>0.43</v>
      </c>
    </row>
    <row r="919" spans="1:3" x14ac:dyDescent="0.2">
      <c r="A919" s="9"/>
      <c r="B919" s="9" t="s">
        <v>1327</v>
      </c>
      <c r="C919" s="9">
        <v>0.4</v>
      </c>
    </row>
    <row r="920" spans="1:3" x14ac:dyDescent="0.2">
      <c r="A920" s="9"/>
      <c r="B920" s="9" t="s">
        <v>1328</v>
      </c>
      <c r="C920" s="9">
        <v>0.4</v>
      </c>
    </row>
    <row r="921" spans="1:3" x14ac:dyDescent="0.2">
      <c r="A921" s="9"/>
      <c r="B921" s="9" t="s">
        <v>1329</v>
      </c>
      <c r="C921" s="9">
        <v>0.4</v>
      </c>
    </row>
    <row r="922" spans="1:3" x14ac:dyDescent="0.2">
      <c r="A922" s="9"/>
      <c r="B922" s="9" t="s">
        <v>1330</v>
      </c>
      <c r="C922" s="9">
        <v>0.41</v>
      </c>
    </row>
    <row r="923" spans="1:3" x14ac:dyDescent="0.2">
      <c r="A923" s="9"/>
      <c r="B923" s="9" t="s">
        <v>1331</v>
      </c>
      <c r="C923" s="9">
        <v>0.48</v>
      </c>
    </row>
    <row r="924" spans="1:3" x14ac:dyDescent="0.2">
      <c r="A924" s="9"/>
      <c r="B924" s="9" t="s">
        <v>1332</v>
      </c>
      <c r="C924" s="9">
        <v>0.62</v>
      </c>
    </row>
    <row r="925" spans="1:3" x14ac:dyDescent="0.2">
      <c r="A925" s="9"/>
      <c r="B925" s="9" t="s">
        <v>1333</v>
      </c>
      <c r="C925" s="9">
        <v>0.49</v>
      </c>
    </row>
    <row r="926" spans="1:3" x14ac:dyDescent="0.2">
      <c r="A926" s="9"/>
      <c r="B926" s="9" t="s">
        <v>1334</v>
      </c>
      <c r="C926" s="9">
        <v>0.44</v>
      </c>
    </row>
    <row r="927" spans="1:3" x14ac:dyDescent="0.2">
      <c r="A927" s="9"/>
      <c r="B927" s="9" t="s">
        <v>1335</v>
      </c>
      <c r="C927" s="9">
        <v>0.44</v>
      </c>
    </row>
    <row r="928" spans="1:3" x14ac:dyDescent="0.2">
      <c r="A928" s="9"/>
      <c r="B928" s="9" t="s">
        <v>1336</v>
      </c>
      <c r="C928" s="9">
        <v>0.46</v>
      </c>
    </row>
    <row r="929" spans="1:3" x14ac:dyDescent="0.2">
      <c r="A929" s="9"/>
      <c r="B929" s="9" t="s">
        <v>1337</v>
      </c>
      <c r="C929" s="9">
        <v>0.45</v>
      </c>
    </row>
    <row r="930" spans="1:3" x14ac:dyDescent="0.2">
      <c r="A930" s="9"/>
      <c r="B930" s="9" t="s">
        <v>1338</v>
      </c>
      <c r="C930" s="9">
        <v>0.4</v>
      </c>
    </row>
    <row r="931" spans="1:3" x14ac:dyDescent="0.2">
      <c r="A931" s="9"/>
      <c r="B931" s="9" t="s">
        <v>1339</v>
      </c>
      <c r="C931" s="9">
        <v>0.45</v>
      </c>
    </row>
    <row r="932" spans="1:3" x14ac:dyDescent="0.2">
      <c r="A932" s="9"/>
      <c r="B932" s="9" t="s">
        <v>1340</v>
      </c>
      <c r="C932" s="9">
        <v>0.51</v>
      </c>
    </row>
    <row r="933" spans="1:3" x14ac:dyDescent="0.2">
      <c r="A933" s="9"/>
      <c r="B933" s="9" t="s">
        <v>1341</v>
      </c>
      <c r="C933" s="9">
        <v>0.55000000000000004</v>
      </c>
    </row>
    <row r="934" spans="1:3" x14ac:dyDescent="0.2">
      <c r="A934" s="9"/>
      <c r="B934" s="9" t="s">
        <v>1342</v>
      </c>
      <c r="C934" s="9">
        <v>0.49</v>
      </c>
    </row>
    <row r="935" spans="1:3" x14ac:dyDescent="0.2">
      <c r="A935" s="9"/>
      <c r="B935" s="9" t="s">
        <v>1343</v>
      </c>
      <c r="C935" s="9">
        <v>0.49</v>
      </c>
    </row>
    <row r="936" spans="1:3" x14ac:dyDescent="0.2">
      <c r="A936" s="9"/>
      <c r="B936" s="9" t="s">
        <v>1344</v>
      </c>
      <c r="C936" s="9">
        <v>0.43</v>
      </c>
    </row>
    <row r="937" spans="1:3" x14ac:dyDescent="0.2">
      <c r="A937" s="9"/>
      <c r="B937" s="9" t="s">
        <v>1345</v>
      </c>
      <c r="C937" s="9">
        <v>0.45</v>
      </c>
    </row>
    <row r="938" spans="1:3" x14ac:dyDescent="0.2">
      <c r="A938" s="9"/>
      <c r="B938" s="9" t="s">
        <v>1346</v>
      </c>
      <c r="C938" s="9">
        <v>0.48</v>
      </c>
    </row>
    <row r="939" spans="1:3" x14ac:dyDescent="0.2">
      <c r="A939" s="9"/>
      <c r="B939" s="9" t="s">
        <v>1347</v>
      </c>
      <c r="C939" s="9">
        <v>0.46</v>
      </c>
    </row>
    <row r="940" spans="1:3" x14ac:dyDescent="0.2">
      <c r="A940" s="9"/>
      <c r="B940" s="9" t="s">
        <v>1348</v>
      </c>
      <c r="C940" s="9">
        <v>0.43</v>
      </c>
    </row>
    <row r="941" spans="1:3" x14ac:dyDescent="0.2">
      <c r="A941" s="9"/>
      <c r="B941" s="9" t="s">
        <v>1349</v>
      </c>
      <c r="C941" s="9">
        <v>0.43</v>
      </c>
    </row>
    <row r="942" spans="1:3" x14ac:dyDescent="0.2">
      <c r="A942" s="9"/>
      <c r="B942" s="9" t="s">
        <v>1350</v>
      </c>
      <c r="C942" s="9">
        <v>0.43</v>
      </c>
    </row>
    <row r="943" spans="1:3" x14ac:dyDescent="0.2">
      <c r="A943" s="9"/>
      <c r="B943" s="9" t="s">
        <v>1351</v>
      </c>
      <c r="C943" s="9">
        <v>0.47</v>
      </c>
    </row>
    <row r="944" spans="1:3" x14ac:dyDescent="0.2">
      <c r="A944" s="9"/>
      <c r="B944" s="9" t="s">
        <v>1352</v>
      </c>
      <c r="C944" s="9">
        <v>0.51</v>
      </c>
    </row>
    <row r="945" spans="1:3" x14ac:dyDescent="0.2">
      <c r="A945" s="9"/>
      <c r="B945" s="9" t="s">
        <v>1353</v>
      </c>
      <c r="C945" s="9">
        <v>0.45</v>
      </c>
    </row>
    <row r="946" spans="1:3" x14ac:dyDescent="0.2">
      <c r="A946" s="9"/>
      <c r="B946" s="9" t="s">
        <v>1354</v>
      </c>
      <c r="C946" s="9">
        <v>0.43</v>
      </c>
    </row>
    <row r="947" spans="1:3" x14ac:dyDescent="0.2">
      <c r="A947" s="9" t="s">
        <v>316</v>
      </c>
      <c r="B947" s="9" t="s">
        <v>1355</v>
      </c>
      <c r="C947" s="9">
        <v>0.57999999999999996</v>
      </c>
    </row>
    <row r="948" spans="1:3" x14ac:dyDescent="0.2">
      <c r="A948" s="9"/>
      <c r="B948" s="9" t="s">
        <v>1356</v>
      </c>
      <c r="C948" s="9">
        <v>0.55000000000000004</v>
      </c>
    </row>
    <row r="949" spans="1:3" x14ac:dyDescent="0.2">
      <c r="A949" s="9"/>
      <c r="B949" s="9" t="s">
        <v>1357</v>
      </c>
      <c r="C949" s="9">
        <v>0.6</v>
      </c>
    </row>
    <row r="950" spans="1:3" x14ac:dyDescent="0.2">
      <c r="A950" s="9"/>
      <c r="B950" s="9" t="s">
        <v>1358</v>
      </c>
      <c r="C950" s="9">
        <v>0.63</v>
      </c>
    </row>
    <row r="951" spans="1:3" x14ac:dyDescent="0.2">
      <c r="A951" s="9"/>
      <c r="B951" s="9" t="s">
        <v>1359</v>
      </c>
      <c r="C951" s="9">
        <v>0.56000000000000005</v>
      </c>
    </row>
    <row r="952" spans="1:3" x14ac:dyDescent="0.2">
      <c r="A952" s="9"/>
      <c r="B952" s="9" t="s">
        <v>1360</v>
      </c>
      <c r="C952" s="9">
        <v>0.52</v>
      </c>
    </row>
    <row r="953" spans="1:3" x14ac:dyDescent="0.2">
      <c r="A953" s="9"/>
      <c r="B953" s="9" t="s">
        <v>1361</v>
      </c>
      <c r="C953" s="9">
        <v>0.61</v>
      </c>
    </row>
    <row r="954" spans="1:3" x14ac:dyDescent="0.2">
      <c r="A954" s="9"/>
      <c r="B954" s="9" t="s">
        <v>1362</v>
      </c>
      <c r="C954" s="9">
        <v>0.61</v>
      </c>
    </row>
    <row r="955" spans="1:3" x14ac:dyDescent="0.2">
      <c r="A955" s="9"/>
      <c r="B955" s="9" t="s">
        <v>1363</v>
      </c>
      <c r="C955" s="9">
        <v>0.52</v>
      </c>
    </row>
    <row r="956" spans="1:3" x14ac:dyDescent="0.2">
      <c r="A956" s="9"/>
      <c r="B956" s="9" t="s">
        <v>1364</v>
      </c>
      <c r="C956" s="9">
        <v>0.55000000000000004</v>
      </c>
    </row>
    <row r="957" spans="1:3" x14ac:dyDescent="0.2">
      <c r="A957" s="9"/>
      <c r="B957" s="9" t="s">
        <v>406</v>
      </c>
      <c r="C957" s="9">
        <v>0.54</v>
      </c>
    </row>
    <row r="958" spans="1:3" x14ac:dyDescent="0.2">
      <c r="A958" s="9"/>
      <c r="B958" s="9" t="s">
        <v>1365</v>
      </c>
      <c r="C958" s="9">
        <v>0.54</v>
      </c>
    </row>
    <row r="959" spans="1:3" x14ac:dyDescent="0.2">
      <c r="A959" s="9"/>
      <c r="B959" s="9" t="s">
        <v>1366</v>
      </c>
      <c r="C959" s="9">
        <v>0.59</v>
      </c>
    </row>
    <row r="960" spans="1:3" x14ac:dyDescent="0.2">
      <c r="A960" s="9"/>
      <c r="B960" s="9" t="s">
        <v>1367</v>
      </c>
      <c r="C960" s="9">
        <v>0.56000000000000005</v>
      </c>
    </row>
    <row r="961" spans="1:3" x14ac:dyDescent="0.2">
      <c r="A961" s="9"/>
      <c r="B961" s="9" t="s">
        <v>1368</v>
      </c>
      <c r="C961" s="9">
        <v>0.51</v>
      </c>
    </row>
    <row r="962" spans="1:3" x14ac:dyDescent="0.2">
      <c r="A962" s="9"/>
      <c r="B962" s="9" t="s">
        <v>407</v>
      </c>
      <c r="C962" s="9">
        <v>0.49</v>
      </c>
    </row>
    <row r="963" spans="1:3" x14ac:dyDescent="0.2">
      <c r="A963" s="9"/>
      <c r="B963" s="9" t="s">
        <v>1369</v>
      </c>
      <c r="C963" s="9">
        <v>0.56000000000000005</v>
      </c>
    </row>
    <row r="964" spans="1:3" x14ac:dyDescent="0.2">
      <c r="A964" s="9"/>
      <c r="B964" s="9" t="s">
        <v>1370</v>
      </c>
      <c r="C964" s="9">
        <v>0.54</v>
      </c>
    </row>
    <row r="965" spans="1:3" x14ac:dyDescent="0.2">
      <c r="A965" s="9"/>
      <c r="B965" s="9" t="s">
        <v>1371</v>
      </c>
      <c r="C965" s="9">
        <v>0.64</v>
      </c>
    </row>
    <row r="966" spans="1:3" x14ac:dyDescent="0.2">
      <c r="A966" s="9"/>
      <c r="B966" s="9" t="s">
        <v>1372</v>
      </c>
      <c r="C966" s="9">
        <v>0.66</v>
      </c>
    </row>
    <row r="967" spans="1:3" x14ac:dyDescent="0.2">
      <c r="A967" s="9"/>
      <c r="B967" s="9" t="s">
        <v>1373</v>
      </c>
      <c r="C967" s="9">
        <v>0.54</v>
      </c>
    </row>
    <row r="968" spans="1:3" x14ac:dyDescent="0.2">
      <c r="A968" s="9"/>
      <c r="B968" s="9" t="s">
        <v>1374</v>
      </c>
      <c r="C968" s="9">
        <v>0.53</v>
      </c>
    </row>
    <row r="969" spans="1:3" x14ac:dyDescent="0.2">
      <c r="A969" s="9"/>
      <c r="B969" s="9" t="s">
        <v>1375</v>
      </c>
      <c r="C969" s="9">
        <v>0.61</v>
      </c>
    </row>
    <row r="970" spans="1:3" x14ac:dyDescent="0.2">
      <c r="A970" s="9"/>
      <c r="B970" s="9" t="s">
        <v>1376</v>
      </c>
      <c r="C970" s="9">
        <v>0.52</v>
      </c>
    </row>
    <row r="971" spans="1:3" x14ac:dyDescent="0.2">
      <c r="A971" s="9"/>
      <c r="B971" s="9" t="s">
        <v>1377</v>
      </c>
      <c r="C971" s="9">
        <v>0.56000000000000005</v>
      </c>
    </row>
    <row r="972" spans="1:3" x14ac:dyDescent="0.2">
      <c r="A972" s="9"/>
      <c r="B972" s="9" t="s">
        <v>1378</v>
      </c>
      <c r="C972" s="9">
        <v>0.56999999999999995</v>
      </c>
    </row>
    <row r="973" spans="1:3" x14ac:dyDescent="0.2">
      <c r="A973" s="9"/>
      <c r="B973" s="9" t="s">
        <v>1379</v>
      </c>
      <c r="C973" s="9">
        <v>0.61</v>
      </c>
    </row>
    <row r="974" spans="1:3" x14ac:dyDescent="0.2">
      <c r="A974" s="9"/>
      <c r="B974" s="9" t="s">
        <v>1380</v>
      </c>
      <c r="C974" s="9">
        <v>0.56999999999999995</v>
      </c>
    </row>
    <row r="975" spans="1:3" x14ac:dyDescent="0.2">
      <c r="A975" s="9"/>
      <c r="B975" s="9" t="s">
        <v>409</v>
      </c>
      <c r="C975" s="9">
        <v>0.56999999999999995</v>
      </c>
    </row>
    <row r="976" spans="1:3" x14ac:dyDescent="0.2">
      <c r="A976" s="9" t="s">
        <v>1381</v>
      </c>
      <c r="B976" s="9" t="s">
        <v>1382</v>
      </c>
      <c r="C976" s="9">
        <v>0.46</v>
      </c>
    </row>
    <row r="977" spans="1:3" x14ac:dyDescent="0.2">
      <c r="A977" s="9"/>
      <c r="B977" s="9" t="s">
        <v>1383</v>
      </c>
      <c r="C977" s="9">
        <v>0.4</v>
      </c>
    </row>
    <row r="978" spans="1:3" x14ac:dyDescent="0.2">
      <c r="A978" s="9"/>
      <c r="B978" s="9" t="s">
        <v>1384</v>
      </c>
      <c r="C978" s="9">
        <v>0.42</v>
      </c>
    </row>
    <row r="979" spans="1:3" x14ac:dyDescent="0.2">
      <c r="A979" s="9"/>
      <c r="B979" s="9" t="s">
        <v>1385</v>
      </c>
      <c r="C979" s="9">
        <v>0.49</v>
      </c>
    </row>
    <row r="980" spans="1:3" x14ac:dyDescent="0.2">
      <c r="A980" s="9"/>
      <c r="B980" s="9" t="s">
        <v>1386</v>
      </c>
      <c r="C980" s="9">
        <v>0.45</v>
      </c>
    </row>
    <row r="981" spans="1:3" x14ac:dyDescent="0.2">
      <c r="A981" s="9"/>
      <c r="B981" s="9" t="s">
        <v>1387</v>
      </c>
      <c r="C981" s="9">
        <v>0.44</v>
      </c>
    </row>
    <row r="982" spans="1:3" x14ac:dyDescent="0.2">
      <c r="A982" s="9"/>
      <c r="B982" s="9" t="s">
        <v>1388</v>
      </c>
      <c r="C982" s="9">
        <v>0.52</v>
      </c>
    </row>
    <row r="983" spans="1:3" x14ac:dyDescent="0.2">
      <c r="A983" s="9"/>
      <c r="B983" s="9" t="s">
        <v>1389</v>
      </c>
      <c r="C983" s="9">
        <v>0.44</v>
      </c>
    </row>
    <row r="984" spans="1:3" x14ac:dyDescent="0.2">
      <c r="A984" s="9"/>
      <c r="B984" s="9" t="s">
        <v>1390</v>
      </c>
      <c r="C984" s="9">
        <v>0.43</v>
      </c>
    </row>
    <row r="985" spans="1:3" x14ac:dyDescent="0.2">
      <c r="A985" s="9"/>
      <c r="B985" s="9" t="s">
        <v>1391</v>
      </c>
      <c r="C985" s="9">
        <v>0.44</v>
      </c>
    </row>
    <row r="986" spans="1:3" x14ac:dyDescent="0.2">
      <c r="A986" s="9"/>
      <c r="B986" s="9" t="s">
        <v>1392</v>
      </c>
      <c r="C986" s="9">
        <v>0.48</v>
      </c>
    </row>
    <row r="987" spans="1:3" x14ac:dyDescent="0.2">
      <c r="A987" s="9" t="s">
        <v>471</v>
      </c>
      <c r="B987" s="9" t="s">
        <v>1393</v>
      </c>
      <c r="C987" s="9">
        <v>0.6</v>
      </c>
    </row>
    <row r="988" spans="1:3" x14ac:dyDescent="0.2">
      <c r="A988" s="9"/>
      <c r="B988" s="9" t="s">
        <v>1394</v>
      </c>
      <c r="C988" s="9">
        <v>0.62</v>
      </c>
    </row>
    <row r="989" spans="1:3" x14ac:dyDescent="0.2">
      <c r="A989" s="9"/>
      <c r="B989" s="9" t="s">
        <v>1395</v>
      </c>
      <c r="C989" s="9">
        <v>0.57999999999999996</v>
      </c>
    </row>
    <row r="990" spans="1:3" x14ac:dyDescent="0.2">
      <c r="A990" s="9"/>
      <c r="B990" s="9" t="s">
        <v>1396</v>
      </c>
      <c r="C990" s="9">
        <v>0.6</v>
      </c>
    </row>
    <row r="991" spans="1:3" x14ac:dyDescent="0.2">
      <c r="A991" s="9"/>
      <c r="B991" s="9" t="s">
        <v>1397</v>
      </c>
      <c r="C991" s="9">
        <v>0.59</v>
      </c>
    </row>
    <row r="992" spans="1:3" x14ac:dyDescent="0.2">
      <c r="A992" s="9"/>
      <c r="B992" s="9" t="s">
        <v>1398</v>
      </c>
      <c r="C992" s="9">
        <v>0.56999999999999995</v>
      </c>
    </row>
    <row r="993" spans="1:3" x14ac:dyDescent="0.2">
      <c r="A993" s="9"/>
      <c r="B993" s="9" t="s">
        <v>1399</v>
      </c>
      <c r="C993" s="9">
        <v>0.53</v>
      </c>
    </row>
    <row r="994" spans="1:3" x14ac:dyDescent="0.2">
      <c r="A994" s="9"/>
      <c r="B994" s="9" t="s">
        <v>1400</v>
      </c>
      <c r="C994" s="9">
        <v>0.61</v>
      </c>
    </row>
    <row r="995" spans="1:3" x14ac:dyDescent="0.2">
      <c r="A995" s="9"/>
      <c r="B995" s="9" t="s">
        <v>1401</v>
      </c>
      <c r="C995" s="9">
        <v>0.6</v>
      </c>
    </row>
    <row r="996" spans="1:3" x14ac:dyDescent="0.2">
      <c r="A996" s="9"/>
      <c r="B996" s="9" t="s">
        <v>1402</v>
      </c>
      <c r="C996" s="9">
        <v>0.57999999999999996</v>
      </c>
    </row>
    <row r="997" spans="1:3" x14ac:dyDescent="0.2">
      <c r="A997" s="9"/>
      <c r="B997" s="9" t="s">
        <v>1403</v>
      </c>
      <c r="C997" s="9">
        <v>0.65</v>
      </c>
    </row>
    <row r="998" spans="1:3" x14ac:dyDescent="0.2">
      <c r="A998" s="9"/>
      <c r="B998" s="9" t="s">
        <v>1404</v>
      </c>
      <c r="C998" s="9">
        <v>0.59</v>
      </c>
    </row>
    <row r="999" spans="1:3" x14ac:dyDescent="0.2">
      <c r="A999" s="9"/>
      <c r="B999" s="9" t="s">
        <v>1405</v>
      </c>
      <c r="C999" s="9">
        <v>0.57999999999999996</v>
      </c>
    </row>
    <row r="1000" spans="1:3" x14ac:dyDescent="0.2">
      <c r="A1000" s="9"/>
      <c r="B1000" s="9" t="s">
        <v>1406</v>
      </c>
      <c r="C1000" s="9">
        <v>0.55000000000000004</v>
      </c>
    </row>
    <row r="1001" spans="1:3" x14ac:dyDescent="0.2">
      <c r="A1001" s="9"/>
      <c r="B1001" s="9" t="s">
        <v>1407</v>
      </c>
      <c r="C1001" s="9">
        <v>0.57999999999999996</v>
      </c>
    </row>
    <row r="1002" spans="1:3" x14ac:dyDescent="0.2">
      <c r="A1002" s="9"/>
      <c r="B1002" s="9" t="s">
        <v>1408</v>
      </c>
      <c r="C1002" s="9">
        <v>0.55000000000000004</v>
      </c>
    </row>
    <row r="1003" spans="1:3" x14ac:dyDescent="0.2">
      <c r="A1003" s="9"/>
      <c r="B1003" s="9" t="s">
        <v>1409</v>
      </c>
      <c r="C1003" s="9">
        <v>0.61</v>
      </c>
    </row>
    <row r="1004" spans="1:3" x14ac:dyDescent="0.2">
      <c r="A1004" s="9"/>
      <c r="B1004" s="9" t="s">
        <v>1410</v>
      </c>
      <c r="C1004" s="9">
        <v>0.52</v>
      </c>
    </row>
    <row r="1005" spans="1:3" x14ac:dyDescent="0.2">
      <c r="A1005" s="9"/>
      <c r="B1005" s="9" t="s">
        <v>1411</v>
      </c>
      <c r="C1005" s="9">
        <v>0.57999999999999996</v>
      </c>
    </row>
    <row r="1006" spans="1:3" x14ac:dyDescent="0.2">
      <c r="A1006" s="9"/>
      <c r="B1006" s="9" t="s">
        <v>1412</v>
      </c>
      <c r="C1006" s="9">
        <v>0.59</v>
      </c>
    </row>
    <row r="1007" spans="1:3" x14ac:dyDescent="0.2">
      <c r="A1007" s="9" t="s">
        <v>472</v>
      </c>
      <c r="B1007" s="9" t="s">
        <v>1413</v>
      </c>
      <c r="C1007" s="9">
        <v>0.72</v>
      </c>
    </row>
    <row r="1008" spans="1:3" x14ac:dyDescent="0.2">
      <c r="A1008" s="9"/>
      <c r="B1008" s="9" t="s">
        <v>1414</v>
      </c>
      <c r="C1008" s="9">
        <v>0.72</v>
      </c>
    </row>
    <row r="1009" spans="1:3" x14ac:dyDescent="0.2">
      <c r="A1009" s="9"/>
      <c r="B1009" s="9" t="s">
        <v>1415</v>
      </c>
      <c r="C1009" s="9">
        <v>0.6</v>
      </c>
    </row>
    <row r="1010" spans="1:3" x14ac:dyDescent="0.2">
      <c r="A1010" s="9"/>
      <c r="B1010" s="9" t="s">
        <v>1416</v>
      </c>
      <c r="C1010" s="9">
        <v>0.7</v>
      </c>
    </row>
    <row r="1011" spans="1:3" x14ac:dyDescent="0.2">
      <c r="A1011" s="9"/>
      <c r="B1011" s="9" t="s">
        <v>1417</v>
      </c>
      <c r="C1011" s="9">
        <v>0.69</v>
      </c>
    </row>
    <row r="1012" spans="1:3" x14ac:dyDescent="0.2">
      <c r="A1012" s="9"/>
      <c r="B1012" s="9" t="s">
        <v>1418</v>
      </c>
      <c r="C1012" s="9">
        <v>0.71</v>
      </c>
    </row>
    <row r="1013" spans="1:3" x14ac:dyDescent="0.2">
      <c r="A1013" s="9"/>
      <c r="B1013" s="9" t="s">
        <v>1419</v>
      </c>
      <c r="C1013" s="9">
        <v>0.6</v>
      </c>
    </row>
    <row r="1014" spans="1:3" x14ac:dyDescent="0.2">
      <c r="A1014" s="9"/>
      <c r="B1014" s="9" t="s">
        <v>1420</v>
      </c>
      <c r="C1014" s="9">
        <v>0.76</v>
      </c>
    </row>
    <row r="1015" spans="1:3" x14ac:dyDescent="0.2">
      <c r="A1015" s="9"/>
      <c r="B1015" s="9" t="s">
        <v>1421</v>
      </c>
      <c r="C1015" s="9">
        <v>0.76</v>
      </c>
    </row>
    <row r="1016" spans="1:3" x14ac:dyDescent="0.2">
      <c r="A1016" s="9"/>
      <c r="B1016" s="9" t="s">
        <v>1422</v>
      </c>
      <c r="C1016" s="9">
        <v>0.64</v>
      </c>
    </row>
    <row r="1017" spans="1:3" x14ac:dyDescent="0.2">
      <c r="A1017" s="9"/>
      <c r="B1017" s="9" t="s">
        <v>1423</v>
      </c>
      <c r="C1017" s="9">
        <v>0.7</v>
      </c>
    </row>
    <row r="1018" spans="1:3" x14ac:dyDescent="0.2">
      <c r="A1018" s="9"/>
      <c r="B1018" s="9" t="s">
        <v>1424</v>
      </c>
      <c r="C1018" s="9">
        <v>0.61</v>
      </c>
    </row>
    <row r="1019" spans="1:3" x14ac:dyDescent="0.2">
      <c r="A1019" s="9"/>
      <c r="B1019" s="9" t="s">
        <v>1425</v>
      </c>
      <c r="C1019" s="9">
        <v>0.56999999999999995</v>
      </c>
    </row>
    <row r="1020" spans="1:3" x14ac:dyDescent="0.2">
      <c r="A1020" s="9" t="s">
        <v>418</v>
      </c>
      <c r="B1020" s="9" t="s">
        <v>1426</v>
      </c>
      <c r="C1020" s="9">
        <v>0.73</v>
      </c>
    </row>
    <row r="1021" spans="1:3" x14ac:dyDescent="0.2">
      <c r="A1021" s="9"/>
      <c r="B1021" s="9" t="s">
        <v>1427</v>
      </c>
      <c r="C1021" s="9">
        <v>0.7</v>
      </c>
    </row>
    <row r="1022" spans="1:3" x14ac:dyDescent="0.2">
      <c r="A1022" s="9"/>
      <c r="B1022" s="9" t="s">
        <v>1428</v>
      </c>
      <c r="C1022" s="9">
        <v>0.66</v>
      </c>
    </row>
    <row r="1023" spans="1:3" x14ac:dyDescent="0.2">
      <c r="A1023" s="9"/>
      <c r="B1023" s="9" t="s">
        <v>1429</v>
      </c>
      <c r="C1023" s="9">
        <v>0.72</v>
      </c>
    </row>
    <row r="1024" spans="1:3" x14ac:dyDescent="0.2">
      <c r="A1024" s="9"/>
      <c r="B1024" s="9" t="s">
        <v>1430</v>
      </c>
      <c r="C1024" s="9">
        <v>0.78</v>
      </c>
    </row>
    <row r="1025" spans="1:3" x14ac:dyDescent="0.2">
      <c r="A1025" s="9"/>
      <c r="B1025" s="9" t="s">
        <v>1431</v>
      </c>
      <c r="C1025" s="9">
        <v>0.7</v>
      </c>
    </row>
    <row r="1026" spans="1:3" x14ac:dyDescent="0.2">
      <c r="A1026" s="9" t="s">
        <v>1432</v>
      </c>
      <c r="B1026" s="9" t="s">
        <v>1433</v>
      </c>
      <c r="C1026" s="9">
        <v>0.55000000000000004</v>
      </c>
    </row>
    <row r="1027" spans="1:3" x14ac:dyDescent="0.2">
      <c r="A1027" s="9"/>
      <c r="B1027" s="9" t="s">
        <v>1434</v>
      </c>
      <c r="C1027" s="9">
        <v>0.62</v>
      </c>
    </row>
    <row r="1028" spans="1:3" x14ac:dyDescent="0.2">
      <c r="A1028" s="9"/>
      <c r="B1028" s="9" t="s">
        <v>1435</v>
      </c>
      <c r="C1028" s="9">
        <v>0.63</v>
      </c>
    </row>
    <row r="1029" spans="1:3" x14ac:dyDescent="0.2">
      <c r="A1029" s="9"/>
      <c r="B1029" s="9" t="s">
        <v>1436</v>
      </c>
      <c r="C1029" s="9">
        <v>0.76</v>
      </c>
    </row>
    <row r="1030" spans="1:3" x14ac:dyDescent="0.2">
      <c r="A1030" s="9"/>
      <c r="B1030" s="9" t="s">
        <v>1437</v>
      </c>
      <c r="C1030" s="9">
        <v>0.56999999999999995</v>
      </c>
    </row>
    <row r="1031" spans="1:3" x14ac:dyDescent="0.2">
      <c r="A1031" s="9"/>
      <c r="B1031" s="9" t="s">
        <v>1438</v>
      </c>
      <c r="C1031" s="9">
        <v>0.65</v>
      </c>
    </row>
    <row r="1032" spans="1:3" x14ac:dyDescent="0.2">
      <c r="A1032" s="9"/>
      <c r="B1032" s="9" t="s">
        <v>1439</v>
      </c>
      <c r="C1032" s="9">
        <v>0.64</v>
      </c>
    </row>
    <row r="1033" spans="1:3" x14ac:dyDescent="0.2">
      <c r="A1033" s="9"/>
      <c r="B1033" s="9" t="s">
        <v>1440</v>
      </c>
      <c r="C1033" s="9">
        <v>0.7</v>
      </c>
    </row>
    <row r="1034" spans="1:3" x14ac:dyDescent="0.2">
      <c r="A1034" s="9"/>
      <c r="B1034" s="9" t="s">
        <v>1441</v>
      </c>
      <c r="C1034" s="9">
        <v>0.75</v>
      </c>
    </row>
    <row r="1035" spans="1:3" x14ac:dyDescent="0.2">
      <c r="A1035" s="9"/>
      <c r="B1035" s="9" t="s">
        <v>1442</v>
      </c>
      <c r="C1035" s="9">
        <v>0.64</v>
      </c>
    </row>
    <row r="1036" spans="1:3" x14ac:dyDescent="0.2">
      <c r="A1036" s="9"/>
      <c r="B1036" s="9" t="s">
        <v>1443</v>
      </c>
      <c r="C1036" s="9">
        <v>0.56999999999999995</v>
      </c>
    </row>
    <row r="1037" spans="1:3" x14ac:dyDescent="0.2">
      <c r="A1037" s="9"/>
      <c r="B1037" s="9" t="s">
        <v>1444</v>
      </c>
      <c r="C1037" s="9">
        <v>0.56999999999999995</v>
      </c>
    </row>
    <row r="1038" spans="1:3" x14ac:dyDescent="0.2">
      <c r="A1038" s="9"/>
      <c r="B1038" s="9" t="s">
        <v>1445</v>
      </c>
      <c r="C1038" s="9">
        <v>0.56999999999999995</v>
      </c>
    </row>
    <row r="1039" spans="1:3" x14ac:dyDescent="0.2">
      <c r="A1039" s="9" t="s">
        <v>435</v>
      </c>
      <c r="B1039" s="9" t="s">
        <v>1446</v>
      </c>
      <c r="C1039" s="9">
        <v>0.73</v>
      </c>
    </row>
    <row r="1040" spans="1:3" x14ac:dyDescent="0.2">
      <c r="A1040" s="9"/>
      <c r="B1040" s="9" t="s">
        <v>1447</v>
      </c>
      <c r="C1040" s="9">
        <v>0.98</v>
      </c>
    </row>
    <row r="1041" spans="1:3" x14ac:dyDescent="0.2">
      <c r="A1041" s="9"/>
      <c r="B1041" s="9" t="s">
        <v>1448</v>
      </c>
      <c r="C1041" s="9">
        <v>0.73</v>
      </c>
    </row>
    <row r="1042" spans="1:3" x14ac:dyDescent="0.2">
      <c r="A1042" s="9"/>
      <c r="B1042" s="9" t="s">
        <v>1449</v>
      </c>
      <c r="C1042" s="9">
        <v>0.72</v>
      </c>
    </row>
    <row r="1043" spans="1:3" x14ac:dyDescent="0.2">
      <c r="A1043" s="9" t="s">
        <v>444</v>
      </c>
      <c r="B1043" s="9" t="s">
        <v>1450</v>
      </c>
      <c r="C1043" s="9">
        <v>0.64</v>
      </c>
    </row>
    <row r="1044" spans="1:3" x14ac:dyDescent="0.2">
      <c r="A1044" s="9"/>
      <c r="B1044" s="9" t="s">
        <v>1451</v>
      </c>
      <c r="C1044" s="9">
        <v>0.66</v>
      </c>
    </row>
    <row r="1045" spans="1:3" x14ac:dyDescent="0.2">
      <c r="A1045" s="9"/>
      <c r="B1045" s="9" t="s">
        <v>1452</v>
      </c>
      <c r="C1045" s="9">
        <v>0.76</v>
      </c>
    </row>
    <row r="1046" spans="1:3" x14ac:dyDescent="0.2">
      <c r="A1046" s="9" t="s">
        <v>1453</v>
      </c>
      <c r="B1046" s="9" t="s">
        <v>1454</v>
      </c>
      <c r="C1046" s="9">
        <v>1.05</v>
      </c>
    </row>
    <row r="1047" spans="1:3" x14ac:dyDescent="0.2">
      <c r="A1047" s="9"/>
      <c r="B1047" s="9" t="s">
        <v>1455</v>
      </c>
      <c r="C1047" s="9">
        <v>0.83</v>
      </c>
    </row>
    <row r="1048" spans="1:3" x14ac:dyDescent="0.2">
      <c r="A1048" s="9"/>
      <c r="B1048" s="9" t="s">
        <v>1456</v>
      </c>
      <c r="C1048" s="9">
        <v>0.8</v>
      </c>
    </row>
    <row r="1049" spans="1:3" x14ac:dyDescent="0.2">
      <c r="A1049" s="9"/>
      <c r="B1049" s="9" t="s">
        <v>1457</v>
      </c>
      <c r="C1049" s="9">
        <v>0.89</v>
      </c>
    </row>
    <row r="1050" spans="1:3" x14ac:dyDescent="0.2">
      <c r="A1050" s="9"/>
      <c r="B1050" s="9" t="s">
        <v>1458</v>
      </c>
      <c r="C1050" s="9">
        <v>0.74</v>
      </c>
    </row>
    <row r="1051" spans="1:3" x14ac:dyDescent="0.2">
      <c r="A1051" s="9" t="s">
        <v>1459</v>
      </c>
      <c r="B1051" s="9" t="s">
        <v>1460</v>
      </c>
      <c r="C1051" s="9">
        <v>0.86</v>
      </c>
    </row>
    <row r="1052" spans="1:3" x14ac:dyDescent="0.2">
      <c r="A1052" s="9"/>
      <c r="B1052" s="9" t="s">
        <v>1461</v>
      </c>
      <c r="C1052" s="9">
        <v>0.84</v>
      </c>
    </row>
    <row r="1053" spans="1:3" x14ac:dyDescent="0.2">
      <c r="A1053" s="9" t="s">
        <v>452</v>
      </c>
      <c r="B1053" s="9" t="s">
        <v>1462</v>
      </c>
      <c r="C1053" s="9">
        <v>0.66</v>
      </c>
    </row>
    <row r="1054" spans="1:3" x14ac:dyDescent="0.2">
      <c r="A1054" s="9"/>
      <c r="B1054" s="9" t="s">
        <v>1463</v>
      </c>
      <c r="C1054" s="9">
        <v>0.84</v>
      </c>
    </row>
    <row r="1055" spans="1:3" x14ac:dyDescent="0.2">
      <c r="A1055" s="9"/>
      <c r="B1055" s="9" t="s">
        <v>1464</v>
      </c>
      <c r="C1055" s="9">
        <v>0.63</v>
      </c>
    </row>
    <row r="1056" spans="1:3" x14ac:dyDescent="0.2">
      <c r="A1056" s="9"/>
      <c r="B1056" s="9" t="s">
        <v>1465</v>
      </c>
      <c r="C1056" s="9">
        <v>0.82</v>
      </c>
    </row>
    <row r="1057" spans="1:3" x14ac:dyDescent="0.2">
      <c r="A1057" s="9"/>
      <c r="B1057" s="9" t="s">
        <v>1466</v>
      </c>
      <c r="C1057" s="9">
        <v>0.67</v>
      </c>
    </row>
    <row r="1058" spans="1:3" x14ac:dyDescent="0.2">
      <c r="A1058" s="9" t="s">
        <v>1467</v>
      </c>
      <c r="B1058" s="9" t="s">
        <v>1468</v>
      </c>
      <c r="C1058" s="9">
        <v>1.28</v>
      </c>
    </row>
    <row r="1059" spans="1:3" x14ac:dyDescent="0.2">
      <c r="A1059" s="9" t="s">
        <v>456</v>
      </c>
      <c r="B1059" s="9" t="s">
        <v>1469</v>
      </c>
      <c r="C1059" s="9">
        <v>0.67</v>
      </c>
    </row>
    <row r="1060" spans="1:3" x14ac:dyDescent="0.2">
      <c r="A1060" s="9"/>
      <c r="B1060" s="9" t="s">
        <v>1470</v>
      </c>
      <c r="C1060" s="9">
        <v>0.59</v>
      </c>
    </row>
    <row r="1061" spans="1:3" x14ac:dyDescent="0.2">
      <c r="A1061" s="9"/>
      <c r="B1061" s="9" t="s">
        <v>1471</v>
      </c>
      <c r="C1061" s="9">
        <v>0.63</v>
      </c>
    </row>
    <row r="1062" spans="1:3" x14ac:dyDescent="0.2">
      <c r="A1062" s="9"/>
      <c r="B1062" s="9" t="s">
        <v>1472</v>
      </c>
      <c r="C1062" s="9">
        <v>0.61</v>
      </c>
    </row>
    <row r="1063" spans="1:3" x14ac:dyDescent="0.2">
      <c r="A1063" s="9"/>
      <c r="B1063" s="9" t="s">
        <v>1473</v>
      </c>
      <c r="C1063" s="9">
        <v>0.62</v>
      </c>
    </row>
    <row r="1064" spans="1:3" x14ac:dyDescent="0.2">
      <c r="A1064" s="9"/>
      <c r="B1064" s="9" t="s">
        <v>1474</v>
      </c>
      <c r="C1064" s="9">
        <v>0.59</v>
      </c>
    </row>
    <row r="1065" spans="1:3" x14ac:dyDescent="0.2">
      <c r="A1065" s="9"/>
      <c r="B1065" s="9" t="s">
        <v>1475</v>
      </c>
      <c r="C1065" s="9">
        <v>0.67</v>
      </c>
    </row>
    <row r="1066" spans="1:3" x14ac:dyDescent="0.2">
      <c r="A1066" s="9"/>
      <c r="B1066" s="9" t="s">
        <v>1476</v>
      </c>
      <c r="C1066" s="9">
        <v>0.61</v>
      </c>
    </row>
    <row r="1067" spans="1:3" x14ac:dyDescent="0.2">
      <c r="A1067" s="9"/>
      <c r="B1067" s="9" t="s">
        <v>1477</v>
      </c>
      <c r="C1067" s="9">
        <v>0.69</v>
      </c>
    </row>
    <row r="1068" spans="1:3" x14ac:dyDescent="0.2">
      <c r="A1068" s="9"/>
      <c r="B1068" s="9" t="s">
        <v>1478</v>
      </c>
      <c r="C1068" s="9">
        <v>0.69</v>
      </c>
    </row>
    <row r="1069" spans="1:3" x14ac:dyDescent="0.2">
      <c r="A1069" s="9"/>
      <c r="B1069" s="9" t="s">
        <v>1479</v>
      </c>
      <c r="C1069" s="9">
        <v>0.57999999999999996</v>
      </c>
    </row>
    <row r="1070" spans="1:3" x14ac:dyDescent="0.2">
      <c r="A1070" s="9"/>
      <c r="B1070" s="9" t="s">
        <v>1480</v>
      </c>
      <c r="C1070" s="9">
        <v>0.61</v>
      </c>
    </row>
    <row r="1071" spans="1:3" x14ac:dyDescent="0.2">
      <c r="A1071" s="9"/>
      <c r="B1071" s="9" t="s">
        <v>1481</v>
      </c>
      <c r="C1071" s="9">
        <v>0.56999999999999995</v>
      </c>
    </row>
    <row r="1072" spans="1:3" x14ac:dyDescent="0.2">
      <c r="A1072" s="9" t="s">
        <v>457</v>
      </c>
      <c r="B1072" s="9" t="s">
        <v>1181</v>
      </c>
      <c r="C1072" s="9">
        <v>0.7</v>
      </c>
    </row>
    <row r="1073" spans="1:3" x14ac:dyDescent="0.2">
      <c r="A1073" s="9" t="s">
        <v>460</v>
      </c>
      <c r="B1073" s="9" t="s">
        <v>1482</v>
      </c>
      <c r="C1073" s="9">
        <v>0.7</v>
      </c>
    </row>
    <row r="1074" spans="1:3" x14ac:dyDescent="0.2">
      <c r="A1074" s="9"/>
      <c r="B1074" s="9" t="s">
        <v>1483</v>
      </c>
      <c r="C1074" s="9">
        <v>0.77</v>
      </c>
    </row>
    <row r="1075" spans="1:3" x14ac:dyDescent="0.2">
      <c r="A1075" s="9"/>
      <c r="B1075" s="9" t="s">
        <v>1484</v>
      </c>
      <c r="C1075" s="9">
        <v>1</v>
      </c>
    </row>
    <row r="1076" spans="1:3" x14ac:dyDescent="0.2">
      <c r="A1076" s="9"/>
      <c r="B1076" s="9" t="s">
        <v>1485</v>
      </c>
      <c r="C1076" s="9">
        <v>0.94</v>
      </c>
    </row>
    <row r="1077" spans="1:3" x14ac:dyDescent="0.2">
      <c r="A1077" s="9"/>
      <c r="B1077" s="9" t="s">
        <v>1486</v>
      </c>
      <c r="C1077" s="9">
        <v>0.93</v>
      </c>
    </row>
    <row r="1078" spans="1:3" x14ac:dyDescent="0.2">
      <c r="A1078" s="9"/>
      <c r="B1078" s="9" t="s">
        <v>1487</v>
      </c>
      <c r="C1078" s="9">
        <v>0.83</v>
      </c>
    </row>
    <row r="1079" spans="1:3" x14ac:dyDescent="0.2">
      <c r="A1079" s="9"/>
      <c r="B1079" s="9" t="s">
        <v>1488</v>
      </c>
      <c r="C1079" s="9">
        <v>0.82</v>
      </c>
    </row>
    <row r="1080" spans="1:3" x14ac:dyDescent="0.2">
      <c r="A1080" s="9"/>
      <c r="B1080" s="9" t="s">
        <v>1489</v>
      </c>
      <c r="C1080" s="9">
        <v>0.77</v>
      </c>
    </row>
    <row r="1081" spans="1:3" x14ac:dyDescent="0.2">
      <c r="A1081" s="9"/>
      <c r="B1081" s="9" t="s">
        <v>1490</v>
      </c>
      <c r="C1081" s="9">
        <v>0.6</v>
      </c>
    </row>
    <row r="1082" spans="1:3" x14ac:dyDescent="0.2">
      <c r="A1082" s="9"/>
      <c r="B1082" s="9" t="s">
        <v>1491</v>
      </c>
      <c r="C1082" s="9">
        <v>0.56000000000000005</v>
      </c>
    </row>
    <row r="1083" spans="1:3" x14ac:dyDescent="0.2">
      <c r="A1083" s="9"/>
      <c r="B1083" s="9" t="s">
        <v>1492</v>
      </c>
      <c r="C1083" s="9">
        <v>0.56999999999999995</v>
      </c>
    </row>
    <row r="1084" spans="1:3" x14ac:dyDescent="0.2">
      <c r="A1084" s="9"/>
      <c r="B1084" s="9" t="s">
        <v>1493</v>
      </c>
      <c r="C1084" s="9">
        <v>0.87</v>
      </c>
    </row>
    <row r="1085" spans="1:3" x14ac:dyDescent="0.2">
      <c r="A1085" s="9"/>
      <c r="B1085" s="9" t="s">
        <v>460</v>
      </c>
      <c r="C1085" s="9">
        <v>0.62</v>
      </c>
    </row>
    <row r="1086" spans="1:3" x14ac:dyDescent="0.2">
      <c r="A1086" s="9"/>
      <c r="B1086" s="9" t="s">
        <v>1494</v>
      </c>
      <c r="C1086" s="9">
        <v>0.69</v>
      </c>
    </row>
    <row r="1087" spans="1:3" x14ac:dyDescent="0.2">
      <c r="A1087" s="9"/>
      <c r="B1087" s="9" t="s">
        <v>1495</v>
      </c>
      <c r="C1087" s="9">
        <v>0.73</v>
      </c>
    </row>
    <row r="1088" spans="1:3" x14ac:dyDescent="0.2">
      <c r="A1088" s="9"/>
      <c r="B1088" s="9" t="s">
        <v>1496</v>
      </c>
      <c r="C1088" s="9">
        <v>0.9</v>
      </c>
    </row>
    <row r="1089" spans="1:3" x14ac:dyDescent="0.2">
      <c r="A1089" s="9"/>
      <c r="B1089" s="9" t="s">
        <v>1497</v>
      </c>
      <c r="C1089" s="9">
        <v>0.76</v>
      </c>
    </row>
    <row r="1090" spans="1:3" x14ac:dyDescent="0.2">
      <c r="A1090" s="9"/>
      <c r="B1090" s="9" t="s">
        <v>1498</v>
      </c>
      <c r="C1090" s="9">
        <v>0.61</v>
      </c>
    </row>
    <row r="1091" spans="1:3" x14ac:dyDescent="0.2">
      <c r="A1091" s="9"/>
      <c r="B1091" s="9" t="s">
        <v>1499</v>
      </c>
      <c r="C1091" s="9">
        <v>0.66</v>
      </c>
    </row>
    <row r="1092" spans="1:3" x14ac:dyDescent="0.2">
      <c r="A1092" s="9"/>
      <c r="B1092" s="9" t="s">
        <v>1500</v>
      </c>
      <c r="C1092" s="9">
        <v>0.61</v>
      </c>
    </row>
    <row r="1093" spans="1:3" x14ac:dyDescent="0.2">
      <c r="A1093" s="9"/>
      <c r="B1093" s="9" t="s">
        <v>1501</v>
      </c>
      <c r="C1093" s="9">
        <v>0.71</v>
      </c>
    </row>
    <row r="1094" spans="1:3" x14ac:dyDescent="0.2">
      <c r="A1094" s="9" t="s">
        <v>462</v>
      </c>
      <c r="B1094" s="9" t="s">
        <v>1502</v>
      </c>
      <c r="C1094" s="9">
        <v>0.78</v>
      </c>
    </row>
    <row r="1095" spans="1:3" x14ac:dyDescent="0.2">
      <c r="A1095" s="9"/>
      <c r="B1095" s="9" t="s">
        <v>1503</v>
      </c>
      <c r="C1095" s="9">
        <v>0.72</v>
      </c>
    </row>
    <row r="1096" spans="1:3" x14ac:dyDescent="0.2">
      <c r="A1096" s="9"/>
      <c r="B1096" s="9" t="s">
        <v>1504</v>
      </c>
      <c r="C1096" s="9">
        <v>0.8</v>
      </c>
    </row>
    <row r="1097" spans="1:3" x14ac:dyDescent="0.2">
      <c r="A1097" s="9"/>
      <c r="B1097" s="9" t="s">
        <v>1505</v>
      </c>
      <c r="C1097" s="9">
        <v>0.75</v>
      </c>
    </row>
    <row r="1098" spans="1:3" x14ac:dyDescent="0.2">
      <c r="A1098" s="9"/>
      <c r="B1098" s="9" t="s">
        <v>1506</v>
      </c>
      <c r="C1098" s="9">
        <v>0.81</v>
      </c>
    </row>
    <row r="1099" spans="1:3" x14ac:dyDescent="0.2">
      <c r="A1099" s="9" t="s">
        <v>473</v>
      </c>
      <c r="B1099" s="9" t="s">
        <v>1507</v>
      </c>
      <c r="C1099" s="9">
        <v>0.77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B2:H14"/>
  <sheetViews>
    <sheetView workbookViewId="0"/>
  </sheetViews>
  <sheetFormatPr defaultColWidth="8.875" defaultRowHeight="14.25" x14ac:dyDescent="0.2"/>
  <cols>
    <col min="1" max="1" width="9" customWidth="1"/>
    <col min="2" max="2" width="8.625" bestFit="1" customWidth="1"/>
    <col min="3" max="3" width="14.125" bestFit="1" customWidth="1"/>
    <col min="4" max="4" width="11.875" bestFit="1" customWidth="1"/>
    <col min="5" max="5" width="20.125" bestFit="1" customWidth="1"/>
    <col min="6" max="6" width="11.875" bestFit="1" customWidth="1"/>
    <col min="7" max="7" width="17.875" bestFit="1" customWidth="1"/>
  </cols>
  <sheetData>
    <row r="2" spans="2:8" x14ac:dyDescent="0.2">
      <c r="B2" s="9"/>
      <c r="C2" s="9" t="s">
        <v>69</v>
      </c>
      <c r="D2" s="9"/>
      <c r="E2" s="9"/>
      <c r="F2" s="9"/>
      <c r="G2" s="9"/>
      <c r="H2" s="9"/>
    </row>
    <row r="3" spans="2:8" x14ac:dyDescent="0.2">
      <c r="B3" s="9"/>
      <c r="C3" s="9" t="s">
        <v>1508</v>
      </c>
      <c r="D3" s="9"/>
      <c r="E3" s="9"/>
      <c r="F3" s="9"/>
      <c r="G3" s="9"/>
      <c r="H3" s="9"/>
    </row>
    <row r="4" spans="2:8" x14ac:dyDescent="0.2">
      <c r="B4" s="9"/>
      <c r="C4" s="9" t="s">
        <v>1509</v>
      </c>
      <c r="D4" s="9"/>
      <c r="E4" s="9"/>
      <c r="F4" s="9"/>
      <c r="G4" s="9"/>
      <c r="H4" s="9"/>
    </row>
    <row r="5" spans="2:8" x14ac:dyDescent="0.2">
      <c r="B5" s="9" t="s">
        <v>1510</v>
      </c>
      <c r="C5" s="9" t="s">
        <v>1511</v>
      </c>
      <c r="D5" s="9" t="s">
        <v>1512</v>
      </c>
      <c r="E5" s="9" t="s">
        <v>1513</v>
      </c>
      <c r="F5" s="9" t="s">
        <v>1514</v>
      </c>
      <c r="G5" s="9" t="s">
        <v>1515</v>
      </c>
      <c r="H5" s="9"/>
    </row>
    <row r="6" spans="2:8" x14ac:dyDescent="0.2">
      <c r="B6" s="9">
        <v>1</v>
      </c>
      <c r="C6" s="9">
        <f>'Entry Sheet'!C36</f>
        <v>0</v>
      </c>
      <c r="D6" s="9">
        <f>'Entry Sheet'!C39</f>
        <v>0</v>
      </c>
      <c r="E6" s="45" t="e">
        <f>D6/(SUM(D6:D7))</f>
        <v>#DIV/0!</v>
      </c>
      <c r="F6" s="9">
        <f>'Entry Sheet'!C38</f>
        <v>0</v>
      </c>
      <c r="G6" s="45" t="e">
        <f>F6/(SUM(F6:F7))</f>
        <v>#DIV/0!</v>
      </c>
      <c r="H6" s="9"/>
    </row>
    <row r="7" spans="2:8" x14ac:dyDescent="0.2">
      <c r="B7" s="9">
        <v>2</v>
      </c>
      <c r="C7" s="9">
        <f>'Entry Sheet'!C46</f>
        <v>0</v>
      </c>
      <c r="D7" s="9">
        <f>'Entry Sheet'!C49</f>
        <v>0</v>
      </c>
      <c r="E7" s="45" t="e">
        <f>D7/(SUM(D6:D7))</f>
        <v>#DIV/0!</v>
      </c>
      <c r="F7" s="9">
        <f>'Entry Sheet'!C48</f>
        <v>0</v>
      </c>
      <c r="G7" s="45" t="e">
        <f>F7/(SUM(F6:F7))</f>
        <v>#DIV/0!</v>
      </c>
      <c r="H7" s="9"/>
    </row>
    <row r="9" spans="2:8" x14ac:dyDescent="0.2">
      <c r="B9" s="9" t="s">
        <v>1510</v>
      </c>
      <c r="C9" s="9"/>
      <c r="D9" s="9" t="s">
        <v>1516</v>
      </c>
      <c r="E9" s="9" t="s">
        <v>1517</v>
      </c>
      <c r="F9" s="9" t="s">
        <v>1516</v>
      </c>
      <c r="G9" s="9" t="s">
        <v>1517</v>
      </c>
      <c r="H9" s="9"/>
    </row>
    <row r="10" spans="2:8" x14ac:dyDescent="0.2">
      <c r="B10" s="9">
        <v>1</v>
      </c>
      <c r="C10" s="9"/>
      <c r="D10" s="45" t="e">
        <f>C6/(21.7*D6)</f>
        <v>#DIV/0!</v>
      </c>
      <c r="E10" s="45" t="e">
        <f>D10*E6</f>
        <v>#DIV/0!</v>
      </c>
      <c r="F10" s="45" t="e">
        <f>C6/(400*F6)</f>
        <v>#DIV/0!</v>
      </c>
      <c r="G10" s="45" t="e">
        <f>F10*G6</f>
        <v>#DIV/0!</v>
      </c>
      <c r="H10" s="9" t="e">
        <f>IF(F10&lt;=0.05,1,0)</f>
        <v>#DIV/0!</v>
      </c>
    </row>
    <row r="11" spans="2:8" x14ac:dyDescent="0.2">
      <c r="B11" s="9">
        <v>2</v>
      </c>
      <c r="C11" s="9"/>
      <c r="D11" s="45" t="e">
        <f>C7/(21.7*D7)</f>
        <v>#DIV/0!</v>
      </c>
      <c r="E11" s="45" t="e">
        <f>D11*E7</f>
        <v>#DIV/0!</v>
      </c>
      <c r="F11" s="45" t="e">
        <f>C7/(400*F7)</f>
        <v>#DIV/0!</v>
      </c>
      <c r="G11" s="45" t="e">
        <f>F11*G7</f>
        <v>#DIV/0!</v>
      </c>
      <c r="H11" s="9" t="e">
        <f>IF(F11&lt;=0.05,1,0)</f>
        <v>#DIV/0!</v>
      </c>
    </row>
    <row r="13" spans="2:8" x14ac:dyDescent="0.2">
      <c r="B13" s="9"/>
      <c r="C13" s="9"/>
      <c r="D13" s="9"/>
      <c r="E13" s="9" t="s">
        <v>1518</v>
      </c>
      <c r="F13" s="9"/>
      <c r="G13" s="9" t="s">
        <v>1519</v>
      </c>
      <c r="H13" s="9"/>
    </row>
    <row r="14" spans="2:8" x14ac:dyDescent="0.2">
      <c r="B14" s="9" t="s">
        <v>1520</v>
      </c>
      <c r="C14" s="9"/>
      <c r="D14" s="9"/>
      <c r="E14" s="45" t="e">
        <f>E10+E11</f>
        <v>#DIV/0!</v>
      </c>
      <c r="F14" s="9"/>
      <c r="G14" s="45" t="e">
        <f>G10+G11</f>
        <v>#DIV/0!</v>
      </c>
      <c r="H14" s="9"/>
    </row>
  </sheetData>
  <pageMargins left="0.7" right="0.7" top="0.75" bottom="0.75" header="0.3" footer="0.3"/>
  <ignoredErrors>
    <ignoredError sqref="F6:F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B1:W31"/>
  <sheetViews>
    <sheetView workbookViewId="0"/>
  </sheetViews>
  <sheetFormatPr defaultColWidth="8.875" defaultRowHeight="14.25" x14ac:dyDescent="0.2"/>
  <cols>
    <col min="1" max="1" width="9" customWidth="1"/>
    <col min="2" max="2" width="76.375" bestFit="1" customWidth="1"/>
    <col min="3" max="3" width="39.5" bestFit="1" customWidth="1"/>
    <col min="4" max="4" width="86.125" bestFit="1" customWidth="1"/>
    <col min="6" max="6" width="11.125" bestFit="1" customWidth="1"/>
    <col min="7" max="7" width="18.875" bestFit="1" customWidth="1"/>
    <col min="8" max="8" width="11.875" bestFit="1" customWidth="1"/>
    <col min="10" max="10" width="37.5" bestFit="1" customWidth="1"/>
    <col min="11" max="11" width="7.375" customWidth="1"/>
    <col min="12" max="12" width="1.125" customWidth="1"/>
    <col min="13" max="13" width="14.5" customWidth="1"/>
    <col min="14" max="14" width="8.125" bestFit="1" customWidth="1"/>
    <col min="15" max="15" width="7.625" customWidth="1"/>
    <col min="16" max="17" width="8" bestFit="1" customWidth="1"/>
    <col min="19" max="19" width="7.75" customWidth="1"/>
    <col min="20" max="20" width="7.625" customWidth="1"/>
    <col min="21" max="21" width="8.125" customWidth="1"/>
  </cols>
  <sheetData>
    <row r="1" spans="2:23" x14ac:dyDescent="0.2">
      <c r="B1" s="9"/>
      <c r="C1" s="9"/>
      <c r="D1" s="9"/>
      <c r="E1" s="9"/>
      <c r="F1" s="9"/>
      <c r="G1" s="9"/>
      <c r="H1" s="9"/>
      <c r="I1" s="9"/>
      <c r="J1" s="9"/>
      <c r="K1" s="9"/>
      <c r="L1" s="9"/>
      <c r="M1" s="9"/>
      <c r="N1" s="53" t="s">
        <v>1521</v>
      </c>
      <c r="O1" s="53"/>
      <c r="P1" s="53"/>
      <c r="Q1" s="53"/>
      <c r="R1" s="9"/>
      <c r="S1" s="9"/>
      <c r="T1" s="53" t="s">
        <v>1522</v>
      </c>
      <c r="U1" s="53"/>
      <c r="V1" s="53"/>
      <c r="W1" s="53"/>
    </row>
    <row r="2" spans="2:23" ht="42.75" x14ac:dyDescent="0.2">
      <c r="B2" s="19"/>
      <c r="C2" s="19"/>
      <c r="D2" s="19"/>
      <c r="E2" s="19"/>
      <c r="F2" s="19"/>
      <c r="G2" s="19"/>
      <c r="H2" s="19"/>
      <c r="I2" s="19"/>
      <c r="J2" s="19"/>
      <c r="K2" s="19"/>
      <c r="L2" s="19"/>
      <c r="M2" s="19"/>
      <c r="N2" s="9"/>
      <c r="O2" s="50" t="s">
        <v>1523</v>
      </c>
      <c r="P2" s="50" t="s">
        <v>1524</v>
      </c>
      <c r="Q2" s="50" t="s">
        <v>1525</v>
      </c>
      <c r="R2" s="9"/>
      <c r="S2" s="19"/>
      <c r="T2" s="9"/>
      <c r="U2" s="53" t="s">
        <v>1523</v>
      </c>
      <c r="V2" s="50" t="s">
        <v>1524</v>
      </c>
      <c r="W2" s="50" t="s">
        <v>1525</v>
      </c>
    </row>
    <row r="3" spans="2:23" x14ac:dyDescent="0.2">
      <c r="B3" s="19"/>
      <c r="C3" s="19"/>
      <c r="D3" s="19"/>
      <c r="E3" s="19"/>
      <c r="F3" s="19"/>
      <c r="G3" s="19"/>
      <c r="H3" s="19"/>
      <c r="I3" s="19"/>
      <c r="J3" s="19"/>
      <c r="K3" s="19"/>
      <c r="L3" s="19"/>
      <c r="M3" s="19"/>
      <c r="N3" s="9"/>
      <c r="O3" s="9"/>
      <c r="P3" s="9"/>
      <c r="Q3" s="9"/>
      <c r="R3" s="9"/>
      <c r="S3" s="9"/>
      <c r="T3" s="9"/>
      <c r="U3" s="9"/>
      <c r="V3" s="9"/>
      <c r="W3" s="9"/>
    </row>
    <row r="4" spans="2:23" x14ac:dyDescent="0.2">
      <c r="B4" s="19"/>
      <c r="C4" s="19"/>
      <c r="D4" s="19"/>
      <c r="E4" s="19"/>
      <c r="F4" s="19"/>
      <c r="G4" s="19"/>
      <c r="H4" s="19"/>
      <c r="I4" s="19"/>
      <c r="J4" s="19"/>
      <c r="K4" s="19"/>
      <c r="L4" s="19"/>
      <c r="M4" s="19"/>
      <c r="N4" s="9"/>
      <c r="O4" s="50" t="e">
        <f>OR($P$4=TRUE,$Q$4=TRUE)</f>
        <v>#REF!</v>
      </c>
      <c r="P4" s="50" t="e">
        <f>OR($N$14="TRUE",$N$16="TRUE",$N$17="TRUE",$N$18="TRUE")</f>
        <v>#REF!</v>
      </c>
      <c r="Q4" s="50" t="e">
        <f>OR($N$10="TRUE",$N$11="TRUE",$N$12="TRUE",$N$13="TRUE",$N$15="TRUE")</f>
        <v>#REF!</v>
      </c>
      <c r="R4" s="9"/>
      <c r="S4" s="19"/>
      <c r="T4" s="9"/>
      <c r="U4" s="50" t="b">
        <f>OR($V$4=TRUE,$W$4=TRUE)</f>
        <v>0</v>
      </c>
      <c r="V4" s="50" t="b">
        <f>OR($T$14="TRUE",$T$16="TRUE",$T$17="TRUE",$T$18="TRUE")</f>
        <v>0</v>
      </c>
      <c r="W4" s="50" t="b">
        <f>OR($T$10="TRUE",$T$11="TRUE",$T$12="TRUE",$T$13="TRUE",$T$15="TRUE")</f>
        <v>0</v>
      </c>
    </row>
    <row r="5" spans="2:23" x14ac:dyDescent="0.2">
      <c r="B5" s="19"/>
      <c r="C5" s="19"/>
      <c r="D5" s="19"/>
      <c r="E5" s="19"/>
      <c r="F5" s="19"/>
      <c r="G5" s="19"/>
      <c r="H5" s="19"/>
      <c r="I5" s="19"/>
      <c r="J5" s="19"/>
      <c r="K5" s="19"/>
      <c r="L5" s="19"/>
      <c r="M5" s="19"/>
      <c r="N5" s="9"/>
      <c r="O5" s="50" t="e">
        <f>OR($P$5=TRUE,$Q$5=TRUE)</f>
        <v>#REF!</v>
      </c>
      <c r="P5" s="50" t="e">
        <f>OR($O$14="TRUE",$O$16="TRUE",$O$17="TRUE",$O$18="TRUE")</f>
        <v>#REF!</v>
      </c>
      <c r="Q5" s="50" t="e">
        <f>OR($O$10="TRUE",$O$11="TRUE",$O$12="TRUE",$O$13="TRUE",$O$15="TRUE")</f>
        <v>#REF!</v>
      </c>
      <c r="R5" s="9"/>
      <c r="S5" s="19"/>
      <c r="T5" s="9"/>
      <c r="U5" s="50" t="b">
        <f>OR($V$5=TRUE,$W$5=TRUE)</f>
        <v>0</v>
      </c>
      <c r="V5" s="50" t="b">
        <f>OR($U$14="TRUE",$U$16="TRUE",$U$17="TRUE",$U$18="TRUE")</f>
        <v>0</v>
      </c>
      <c r="W5" s="50" t="b">
        <f>OR($U$10="TRUE",$U$11="TRUE",$U$12="TRUE",$U$13="TRUE",$U$15="TRUE")</f>
        <v>0</v>
      </c>
    </row>
    <row r="6" spans="2:23" x14ac:dyDescent="0.2">
      <c r="B6" s="19" t="s">
        <v>1526</v>
      </c>
      <c r="C6" s="19" t="s">
        <v>1527</v>
      </c>
      <c r="D6" s="19"/>
      <c r="E6" s="19"/>
      <c r="F6" s="19"/>
      <c r="G6" s="19"/>
      <c r="H6" s="19"/>
      <c r="I6" s="19"/>
      <c r="J6" s="19"/>
      <c r="K6" s="19"/>
      <c r="L6" s="19"/>
      <c r="M6" s="19"/>
      <c r="N6" s="9"/>
      <c r="O6" s="50" t="e">
        <f>OR($P$6=TRUE,$Q$6=TRUE)</f>
        <v>#REF!</v>
      </c>
      <c r="P6" s="50" t="e">
        <f>OR($P$14="TRUE",$P$16="TRUE",$P$17="TRUE",$P$18="TRUE")</f>
        <v>#REF!</v>
      </c>
      <c r="Q6" s="50" t="e">
        <f>OR($P$10="TRUE",$P$11="TRUE",$P$12="TRUE",$P$13="TRUE",$P$15="TRUE")</f>
        <v>#REF!</v>
      </c>
      <c r="R6" s="9"/>
      <c r="S6" s="19"/>
      <c r="T6" s="9"/>
      <c r="U6" s="50" t="b">
        <f>OR($V$6=TRUE,$W$6=TRUE)</f>
        <v>0</v>
      </c>
      <c r="V6" s="50" t="b">
        <f>OR($V$14="TRUE",$V$16="TRUE",$V$17="TRUE",$V$18="TRUE")</f>
        <v>0</v>
      </c>
      <c r="W6" s="50" t="b">
        <f>OR($V$10="TRUE",$V$11="TRUE",$V$12="TRUE",$V$13="TRUE",$V$15="TRUE")</f>
        <v>0</v>
      </c>
    </row>
    <row r="7" spans="2:23" x14ac:dyDescent="0.2">
      <c r="B7" s="19" t="s">
        <v>1528</v>
      </c>
      <c r="C7" s="19">
        <v>-50</v>
      </c>
      <c r="D7" s="19"/>
      <c r="E7" s="19"/>
      <c r="F7" s="19"/>
      <c r="G7" s="19"/>
      <c r="H7" s="19"/>
      <c r="I7" s="19"/>
      <c r="J7" s="19"/>
      <c r="K7" s="19"/>
      <c r="L7" s="19"/>
      <c r="M7" s="19"/>
      <c r="N7" s="19"/>
      <c r="O7" s="50" t="e">
        <f>OR($P$7=TRUE,$Q$7=TRUE)</f>
        <v>#REF!</v>
      </c>
      <c r="P7" s="50" t="e">
        <f>OR($Q$14="TRUE",$Q$16="TRUE",$Q$17="TRUE",$Q$18="TRUE")</f>
        <v>#REF!</v>
      </c>
      <c r="Q7" s="50" t="e">
        <f>OR($Q$10="TRUE",$Q$11="TRUE",$Q$12="TRUE",$Q$13="TRUE",$Q$15="TRUE")</f>
        <v>#REF!</v>
      </c>
      <c r="R7" s="9"/>
      <c r="S7" s="19"/>
      <c r="T7" s="19"/>
      <c r="U7" s="50" t="b">
        <f>OR($V$7=TRUE,$W$7=TRUE)</f>
        <v>0</v>
      </c>
      <c r="V7" s="50" t="b">
        <f>OR($W$14="TRUE",$W$16="TRUE",$W$17="TRUE",$W$18="TRUE")</f>
        <v>0</v>
      </c>
      <c r="W7" s="50" t="b">
        <f>OR($W$10="TRUE",$W$11="TRUE",$W$12="TRUE",$W$13="TRUE",$W$15="TRUE")</f>
        <v>0</v>
      </c>
    </row>
    <row r="8" spans="2:23" x14ac:dyDescent="0.2">
      <c r="B8" s="19" t="s">
        <v>1529</v>
      </c>
      <c r="C8" s="19">
        <v>-50</v>
      </c>
      <c r="D8" s="19"/>
      <c r="E8" s="19"/>
      <c r="F8" s="19"/>
      <c r="G8" s="19"/>
      <c r="H8" s="19"/>
      <c r="I8" s="19"/>
      <c r="J8" s="19"/>
      <c r="K8" s="19"/>
      <c r="L8" s="19"/>
      <c r="M8" s="19"/>
      <c r="N8" s="19"/>
      <c r="O8" s="19"/>
      <c r="P8" s="19"/>
      <c r="Q8" s="19"/>
      <c r="R8" s="9"/>
      <c r="S8" s="19"/>
      <c r="T8" s="19"/>
      <c r="U8" s="19"/>
      <c r="V8" s="19"/>
      <c r="W8" s="19"/>
    </row>
    <row r="9" spans="2:23" x14ac:dyDescent="0.2">
      <c r="B9" s="19" t="s">
        <v>1530</v>
      </c>
      <c r="C9" s="19">
        <v>-50</v>
      </c>
      <c r="D9" s="19"/>
      <c r="E9" s="19"/>
      <c r="F9" s="19"/>
      <c r="G9" s="19"/>
      <c r="H9" s="19"/>
      <c r="I9" s="19"/>
      <c r="J9" s="19"/>
      <c r="K9" s="19"/>
      <c r="L9" s="19"/>
      <c r="M9" s="19"/>
      <c r="N9" s="19"/>
      <c r="O9" s="19"/>
      <c r="P9" s="19"/>
      <c r="Q9" s="19"/>
      <c r="R9" s="9"/>
      <c r="S9" s="19"/>
      <c r="T9" s="19"/>
      <c r="U9" s="19"/>
      <c r="V9" s="19"/>
      <c r="W9" s="19"/>
    </row>
    <row r="10" spans="2:23" x14ac:dyDescent="0.2">
      <c r="B10" s="19" t="s">
        <v>1531</v>
      </c>
      <c r="C10" s="19"/>
      <c r="D10" s="19"/>
      <c r="E10" s="19"/>
      <c r="F10" s="19"/>
      <c r="G10" s="19"/>
      <c r="H10" s="19"/>
      <c r="I10" s="19"/>
      <c r="J10" s="19" t="s">
        <v>109</v>
      </c>
      <c r="K10" s="19">
        <v>400</v>
      </c>
      <c r="L10" s="19"/>
      <c r="M10" s="51" t="s">
        <v>1532</v>
      </c>
      <c r="N10" s="52" t="e">
        <f>IF(AND('Entry Sheet'!$D$72='Table 4'!J10,'Entry Sheet'!#REF!&gt;400),"TRUE","FALSE")</f>
        <v>#REF!</v>
      </c>
      <c r="O10" s="52" t="e">
        <f>IF(AND('Entry Sheet'!$D$76='Table 4'!J10,'Entry Sheet'!#REF!&gt;400),"TRUE","FALSE")</f>
        <v>#REF!</v>
      </c>
      <c r="P10" s="52" t="e">
        <f>IF(AND('Entry Sheet'!$D$80='Table 4'!J10,'Entry Sheet'!#REF!&gt;400),"TRUE","FALSE")</f>
        <v>#REF!</v>
      </c>
      <c r="Q10" s="52" t="e">
        <f>IF(AND('Entry Sheet'!$D$84='Table 4'!J10,'Entry Sheet'!#REF!&gt;400),"TRUE","FALSE")</f>
        <v>#REF!</v>
      </c>
      <c r="R10" s="9"/>
      <c r="S10" s="51" t="s">
        <v>1532</v>
      </c>
      <c r="T10" s="52" t="str">
        <f>IF(AND('Entry Sheet'!$D$72='Table 4'!J10,'Entry Sheet'!$H$72&gt;400),"TRUE","FALSE")</f>
        <v>FALSE</v>
      </c>
      <c r="U10" s="52" t="str">
        <f>IF(AND('Entry Sheet'!$D$76='Table 4'!J10,'Entry Sheet'!$H$76&gt;400),"TRUE","FALSE")</f>
        <v>FALSE</v>
      </c>
      <c r="V10" s="52" t="str">
        <f>IF(AND('Entry Sheet'!$D$80='Table 4'!J10,'Entry Sheet'!$H$80&gt;400),"TRUE","FALSE")</f>
        <v>FALSE</v>
      </c>
      <c r="W10" s="52" t="str">
        <f>IF(AND('Entry Sheet'!$D$84='Table 4'!J10,'Entry Sheet'!$H$84&gt;400),"TRUE","FALSE")</f>
        <v>FALSE</v>
      </c>
    </row>
    <row r="11" spans="2:23" ht="28.5" x14ac:dyDescent="0.2">
      <c r="B11" s="19" t="s">
        <v>1533</v>
      </c>
      <c r="C11" s="19"/>
      <c r="D11" s="19" t="s">
        <v>1534</v>
      </c>
      <c r="E11" s="19"/>
      <c r="F11" s="19" t="s">
        <v>1535</v>
      </c>
      <c r="G11" s="19" t="s">
        <v>1536</v>
      </c>
      <c r="H11" s="19" t="s">
        <v>1537</v>
      </c>
      <c r="I11" s="19"/>
      <c r="J11" s="19" t="s">
        <v>1538</v>
      </c>
      <c r="K11" s="19">
        <v>400</v>
      </c>
      <c r="L11" s="19"/>
      <c r="M11" s="19"/>
      <c r="N11" s="52" t="e">
        <f>IF(AND('Entry Sheet'!$D$72='Table 4'!J11,'Entry Sheet'!#REF!&gt;400),"TRUE","FALSE")</f>
        <v>#REF!</v>
      </c>
      <c r="O11" s="52" t="e">
        <f>IF(AND('Entry Sheet'!$D$76='Table 4'!J11,'Entry Sheet'!#REF!&gt;400),"TRUE","FALSE")</f>
        <v>#REF!</v>
      </c>
      <c r="P11" s="52" t="e">
        <f>IF(AND('Entry Sheet'!$D$80='Table 4'!J11,'Entry Sheet'!#REF!&gt;400),"TRUE","FALSE")</f>
        <v>#REF!</v>
      </c>
      <c r="Q11" s="52" t="e">
        <f>IF(AND('Entry Sheet'!$D$84='Table 4'!J11,'Entry Sheet'!#REF!&gt;400),"TRUE","FALSE")</f>
        <v>#REF!</v>
      </c>
      <c r="R11" s="9"/>
      <c r="S11" s="19"/>
      <c r="T11" s="52" t="str">
        <f>IF(AND('Entry Sheet'!$D$72='Table 4'!J11,'Entry Sheet'!$H$72&gt;400),"TRUE","FALSE")</f>
        <v>FALSE</v>
      </c>
      <c r="U11" s="52" t="str">
        <f>IF(AND('Entry Sheet'!$D$76='Table 4'!J11,'Entry Sheet'!$H$76&gt;400),"TRUE","FALSE")</f>
        <v>FALSE</v>
      </c>
      <c r="V11" s="52" t="str">
        <f>IF(AND('Entry Sheet'!$D$80='Table 4'!J11,'Entry Sheet'!$H$80&gt;400),"TRUE","FALSE")</f>
        <v>FALSE</v>
      </c>
      <c r="W11" s="52" t="str">
        <f>IF(AND('Entry Sheet'!$D$84='Table 4'!J11,'Entry Sheet'!$H$84&gt;400),"TRUE","FALSE")</f>
        <v>FALSE</v>
      </c>
    </row>
    <row r="12" spans="2:23" x14ac:dyDescent="0.2">
      <c r="B12" s="19" t="s">
        <v>1539</v>
      </c>
      <c r="C12" s="19"/>
      <c r="D12" s="19"/>
      <c r="E12" s="19"/>
      <c r="F12" s="19"/>
      <c r="G12" s="19"/>
      <c r="H12" s="19"/>
      <c r="I12" s="19"/>
      <c r="J12" s="19" t="s">
        <v>1540</v>
      </c>
      <c r="K12" s="19">
        <v>400</v>
      </c>
      <c r="L12" s="19"/>
      <c r="M12" s="19"/>
      <c r="N12" s="52" t="e">
        <f>IF(AND('Entry Sheet'!$D$72='Table 4'!J12,'Entry Sheet'!#REF!&gt;400),"TRUE","FALSE")</f>
        <v>#REF!</v>
      </c>
      <c r="O12" s="52" t="e">
        <f>IF(AND('Entry Sheet'!$D$76='Table 4'!J12,'Entry Sheet'!#REF!&gt;400),"TRUE","FALSE")</f>
        <v>#REF!</v>
      </c>
      <c r="P12" s="52" t="e">
        <f>IF(AND('Entry Sheet'!$D$80='Table 4'!J12,'Entry Sheet'!#REF!&gt;400),"TRUE","FALSE")</f>
        <v>#REF!</v>
      </c>
      <c r="Q12" s="52" t="e">
        <f>IF(AND('Entry Sheet'!$D$84='Table 4'!J12,'Entry Sheet'!#REF!&gt;400),"TRUE","FALSE")</f>
        <v>#REF!</v>
      </c>
      <c r="R12" s="9"/>
      <c r="S12" s="19"/>
      <c r="T12" s="52" t="str">
        <f>IF(AND('Entry Sheet'!$D$72='Table 4'!J12,'Entry Sheet'!$H$72&gt;400),"TRUE","FALSE")</f>
        <v>FALSE</v>
      </c>
      <c r="U12" s="52" t="str">
        <f>IF(AND('Entry Sheet'!$D$76='Table 4'!J12,'Entry Sheet'!$H$76&gt;400),"TRUE","FALSE")</f>
        <v>FALSE</v>
      </c>
      <c r="V12" s="52" t="str">
        <f>IF(AND('Entry Sheet'!$D$80='Table 4'!J12,'Entry Sheet'!$H$80&gt;400),"TRUE","FALSE")</f>
        <v>FALSE</v>
      </c>
      <c r="W12" s="52" t="str">
        <f>IF(AND('Entry Sheet'!$D$84='Table 4'!J12,'Entry Sheet'!$H$84&gt;400),"TRUE","FALSE")</f>
        <v>FALSE</v>
      </c>
    </row>
    <row r="13" spans="2:23" x14ac:dyDescent="0.2">
      <c r="B13" s="19" t="s">
        <v>1541</v>
      </c>
      <c r="C13" s="19"/>
      <c r="D13" s="19"/>
      <c r="E13" s="19"/>
      <c r="F13" s="19"/>
      <c r="G13" s="19"/>
      <c r="H13" s="19"/>
      <c r="I13" s="19"/>
      <c r="J13" s="19" t="s">
        <v>1542</v>
      </c>
      <c r="K13" s="19">
        <v>400</v>
      </c>
      <c r="L13" s="19"/>
      <c r="M13" s="19"/>
      <c r="N13" s="52" t="e">
        <f>IF(AND('Entry Sheet'!$D$72='Table 4'!J13,'Entry Sheet'!#REF!&gt;400),"TRUE","FALSE")</f>
        <v>#REF!</v>
      </c>
      <c r="O13" s="52" t="e">
        <f>IF(AND('Entry Sheet'!$D$76='Table 4'!J13,'Entry Sheet'!#REF!&gt;400),"TRUE","FALSE")</f>
        <v>#REF!</v>
      </c>
      <c r="P13" s="52" t="e">
        <f>IF(AND('Entry Sheet'!$D$80='Table 4'!J13,'Entry Sheet'!#REF!&gt;400),"TRUE","FALSE")</f>
        <v>#REF!</v>
      </c>
      <c r="Q13" s="52" t="e">
        <f>IF(AND('Entry Sheet'!$D$84='Table 4'!J13,'Entry Sheet'!#REF!&gt;400),"TRUE","FALSE")</f>
        <v>#REF!</v>
      </c>
      <c r="R13" s="9"/>
      <c r="S13" s="19"/>
      <c r="T13" s="52" t="str">
        <f>IF(AND('Entry Sheet'!$D$72='Table 4'!J13,'Entry Sheet'!$H$72&gt;400),"TRUE","FALSE")</f>
        <v>FALSE</v>
      </c>
      <c r="U13" s="52" t="str">
        <f>IF(AND('Entry Sheet'!$D$76='Table 4'!J13,'Entry Sheet'!$H$76&gt;400),"TRUE","FALSE")</f>
        <v>FALSE</v>
      </c>
      <c r="V13" s="52" t="str">
        <f>IF(AND('Entry Sheet'!$D$80='Table 4'!J13,'Entry Sheet'!$H$80&gt;400),"TRUE","FALSE")</f>
        <v>FALSE</v>
      </c>
      <c r="W13" s="52" t="str">
        <f>IF(AND('Entry Sheet'!$D$84='Table 4'!J13,'Entry Sheet'!$H$84&gt;400),"TRUE","FALSE")</f>
        <v>FALSE</v>
      </c>
    </row>
    <row r="14" spans="2:23" x14ac:dyDescent="0.2">
      <c r="B14" s="19"/>
      <c r="C14" s="19"/>
      <c r="D14" s="19"/>
      <c r="E14" s="19"/>
      <c r="F14" s="19"/>
      <c r="G14" s="19"/>
      <c r="H14" s="19"/>
      <c r="I14" s="19"/>
      <c r="J14" s="19" t="s">
        <v>1543</v>
      </c>
      <c r="K14" s="19">
        <v>200</v>
      </c>
      <c r="L14" s="19"/>
      <c r="M14" s="19"/>
      <c r="N14" s="52" t="e">
        <f>IF(AND('Entry Sheet'!$D$72='Table 4'!J14,'Entry Sheet'!#REF!&gt;200),"TRUE","FALSE")</f>
        <v>#REF!</v>
      </c>
      <c r="O14" s="52" t="e">
        <f>IF(AND('Entry Sheet'!$D$76='Table 4'!J14,'Entry Sheet'!#REF!&gt;200),"TRUE","FALSE")</f>
        <v>#REF!</v>
      </c>
      <c r="P14" s="52" t="e">
        <f>IF(AND('Entry Sheet'!$D$80='Table 4'!J14,'Entry Sheet'!#REF!&gt;200),"TRUE","FALSE")</f>
        <v>#REF!</v>
      </c>
      <c r="Q14" s="52" t="e">
        <f>IF(AND('Entry Sheet'!$D$84='Table 4'!J14,'Entry Sheet'!#REF!&gt;200),"TRUE","FALSE")</f>
        <v>#REF!</v>
      </c>
      <c r="R14" s="9"/>
      <c r="S14" s="19"/>
      <c r="T14" s="52" t="str">
        <f>IF(AND('Entry Sheet'!$D$72='Table 4'!J14,'Entry Sheet'!$H$72&gt;200),"TRUE","FALSE")</f>
        <v>FALSE</v>
      </c>
      <c r="U14" s="52" t="str">
        <f>IF(AND('Entry Sheet'!$D$76='Table 4'!J14,'Entry Sheet'!$H$76&gt;200),"TRUE","FALSE")</f>
        <v>FALSE</v>
      </c>
      <c r="V14" s="52" t="str">
        <f>IF(AND('Entry Sheet'!$D$80='Table 4'!J14,'Entry Sheet'!$H$80&gt;200),"TRUE","FALSE")</f>
        <v>FALSE</v>
      </c>
      <c r="W14" s="52" t="str">
        <f>IF(AND('Entry Sheet'!$D$84='Table 4'!J14,'Entry Sheet'!$H$84&gt;200),"TRUE","FALSE")</f>
        <v>FALSE</v>
      </c>
    </row>
    <row r="15" spans="2:23" x14ac:dyDescent="0.2">
      <c r="B15" s="19" t="s">
        <v>1544</v>
      </c>
      <c r="C15" s="51" t="s">
        <v>1545</v>
      </c>
      <c r="D15" s="19"/>
      <c r="E15" s="19"/>
      <c r="F15" s="19"/>
      <c r="G15" s="19"/>
      <c r="H15" s="19"/>
      <c r="I15" s="19"/>
      <c r="J15" s="19" t="s">
        <v>1546</v>
      </c>
      <c r="K15" s="19">
        <v>400</v>
      </c>
      <c r="L15" s="19"/>
      <c r="M15" s="19"/>
      <c r="N15" s="52" t="e">
        <f>IF(AND('Entry Sheet'!$D$72='Table 4'!J15,'Entry Sheet'!#REF!&gt;400),"TRUE","FALSE")</f>
        <v>#REF!</v>
      </c>
      <c r="O15" s="52" t="e">
        <f>IF(AND('Entry Sheet'!$D$76='Table 4'!J15,'Entry Sheet'!#REF!&gt;400),"TRUE","FALSE")</f>
        <v>#REF!</v>
      </c>
      <c r="P15" s="52" t="e">
        <f>IF(AND('Entry Sheet'!$D$80='Table 4'!J15,'Entry Sheet'!#REF!&gt;400),"TRUE","FALSE")</f>
        <v>#REF!</v>
      </c>
      <c r="Q15" s="52" t="e">
        <f>IF(AND('Entry Sheet'!$D$84='Table 4'!J15,'Entry Sheet'!#REF!&gt;400),"TRUE","FALSE")</f>
        <v>#REF!</v>
      </c>
      <c r="R15" s="9"/>
      <c r="S15" s="19"/>
      <c r="T15" s="52" t="str">
        <f>IF(AND('Entry Sheet'!$D$72='Table 4'!J15,'Entry Sheet'!$H$72&gt;400),"TRUE","FALSE")</f>
        <v>FALSE</v>
      </c>
      <c r="U15" s="52" t="str">
        <f>IF(AND('Entry Sheet'!$D$76='Table 4'!J15,'Entry Sheet'!$H$76&gt;400),"TRUE","FALSE")</f>
        <v>FALSE</v>
      </c>
      <c r="V15" s="52" t="str">
        <f>IF(AND('Entry Sheet'!$D$80='Table 4'!J15,'Entry Sheet'!$H$80&gt;400),"TRUE","FALSE")</f>
        <v>FALSE</v>
      </c>
      <c r="W15" s="52" t="str">
        <f>IF(AND('Entry Sheet'!$D$84='Table 4'!J15,'Entry Sheet'!$H$84&gt;400),"TRUE","FALSE")</f>
        <v>FALSE</v>
      </c>
    </row>
    <row r="16" spans="2:23" x14ac:dyDescent="0.2">
      <c r="B16" s="19"/>
      <c r="C16" s="19"/>
      <c r="D16" s="19"/>
      <c r="E16" s="19"/>
      <c r="F16" s="19"/>
      <c r="G16" s="19"/>
      <c r="H16" s="19"/>
      <c r="I16" s="19"/>
      <c r="J16" s="19" t="s">
        <v>1547</v>
      </c>
      <c r="K16" s="19">
        <v>200</v>
      </c>
      <c r="L16" s="19"/>
      <c r="M16" s="19"/>
      <c r="N16" s="52" t="e">
        <f>IF(AND('Entry Sheet'!$D$72='Table 4'!J16,'Entry Sheet'!#REF!&gt;200),"TRUE","FALSE")</f>
        <v>#REF!</v>
      </c>
      <c r="O16" s="52" t="e">
        <f>IF(AND('Entry Sheet'!$D$76='Table 4'!J16,'Entry Sheet'!#REF!&gt;200),"TRUE","FALSE")</f>
        <v>#REF!</v>
      </c>
      <c r="P16" s="52" t="e">
        <f>IF(AND('Entry Sheet'!$D$80='Table 4'!J16,'Entry Sheet'!#REF!&gt;200),"TRUE","FALSE")</f>
        <v>#REF!</v>
      </c>
      <c r="Q16" s="52" t="e">
        <f>IF(AND('Entry Sheet'!$D$84='Table 4'!J16,'Entry Sheet'!#REF!&gt;200),"TRUE","FALSE")</f>
        <v>#REF!</v>
      </c>
      <c r="R16" s="9"/>
      <c r="S16" s="19"/>
      <c r="T16" s="52" t="str">
        <f>IF(AND('Entry Sheet'!$D$72='Table 4'!J16,'Entry Sheet'!$H$72&gt;200),"TRUE","FALSE")</f>
        <v>FALSE</v>
      </c>
      <c r="U16" s="52" t="str">
        <f>IF(AND('Entry Sheet'!$D$76='Table 4'!J16,'Entry Sheet'!$H$76&gt;200),"TRUE","FALSE")</f>
        <v>FALSE</v>
      </c>
      <c r="V16" s="52" t="str">
        <f>IF(AND('Entry Sheet'!$D$80='Table 4'!J16,'Entry Sheet'!$H$80&gt;200),"TRUE","FALSE")</f>
        <v>FALSE</v>
      </c>
      <c r="W16" s="52" t="str">
        <f>IF(AND('Entry Sheet'!$D$84='Table 4'!J16,'Entry Sheet'!$H$84&gt;200),"TRUE","FALSE")</f>
        <v>FALSE</v>
      </c>
    </row>
    <row r="17" spans="2:23" x14ac:dyDescent="0.2">
      <c r="B17" s="19"/>
      <c r="C17" s="19"/>
      <c r="D17" s="19"/>
      <c r="E17" s="19"/>
      <c r="F17" s="19"/>
      <c r="G17" s="19"/>
      <c r="H17" s="19"/>
      <c r="I17" s="19"/>
      <c r="J17" s="19" t="s">
        <v>1548</v>
      </c>
      <c r="K17" s="19">
        <v>200</v>
      </c>
      <c r="L17" s="19"/>
      <c r="M17" s="19"/>
      <c r="N17" s="52" t="e">
        <f>IF(AND('Entry Sheet'!$D$72='Table 4'!J17,'Entry Sheet'!#REF!&gt;200),"TRUE","FALSE")</f>
        <v>#REF!</v>
      </c>
      <c r="O17" s="52" t="e">
        <f>IF(AND('Entry Sheet'!$D$76='Table 4'!J17,'Entry Sheet'!#REF!&gt;200),"TRUE","FALSE")</f>
        <v>#REF!</v>
      </c>
      <c r="P17" s="52" t="e">
        <f>IF(AND('Entry Sheet'!$D$80='Table 4'!J17,'Entry Sheet'!#REF!&gt;200),"TRUE","FALSE")</f>
        <v>#REF!</v>
      </c>
      <c r="Q17" s="52" t="e">
        <f>IF(AND('Entry Sheet'!$D$84='Table 4'!J17,'Entry Sheet'!#REF!&gt;200),"TRUE","FALSE")</f>
        <v>#REF!</v>
      </c>
      <c r="R17" s="9"/>
      <c r="S17" s="19"/>
      <c r="T17" s="52" t="str">
        <f>IF(AND('Entry Sheet'!$D$72='Table 4'!J17,'Entry Sheet'!$H$72&gt;200),"TRUE","FALSE")</f>
        <v>FALSE</v>
      </c>
      <c r="U17" s="52" t="str">
        <f>IF(AND('Entry Sheet'!$D$76='Table 4'!J17,'Entry Sheet'!$H$76&gt;200),"TRUE","FALSE")</f>
        <v>FALSE</v>
      </c>
      <c r="V17" s="52" t="str">
        <f>IF(AND('Entry Sheet'!$D$80='Table 4'!J17,'Entry Sheet'!$H$80&gt;200),"TRUE","FALSE")</f>
        <v>FALSE</v>
      </c>
      <c r="W17" s="52" t="str">
        <f>IF(AND('Entry Sheet'!$D$84='Table 4'!J17,'Entry Sheet'!$H$84&gt;200),"TRUE","FALSE")</f>
        <v>FALSE</v>
      </c>
    </row>
    <row r="18" spans="2:23" x14ac:dyDescent="0.2">
      <c r="B18" s="19"/>
      <c r="C18" s="19"/>
      <c r="D18" s="19"/>
      <c r="E18" s="19"/>
      <c r="F18" s="19"/>
      <c r="G18" s="19"/>
      <c r="H18" s="19"/>
      <c r="I18" s="19"/>
      <c r="J18" s="19" t="s">
        <v>1549</v>
      </c>
      <c r="K18" s="19">
        <v>200</v>
      </c>
      <c r="L18" s="19"/>
      <c r="M18" s="19"/>
      <c r="N18" s="52" t="e">
        <f>IF(AND('Entry Sheet'!$D$72='Table 4'!J18,'Entry Sheet'!#REF!&gt;200),"TRUE","FALSE")</f>
        <v>#REF!</v>
      </c>
      <c r="O18" s="52" t="e">
        <f>IF(AND('Entry Sheet'!$D$76='Table 4'!J18,'Entry Sheet'!#REF!&gt;200),"TRUE","FALSE")</f>
        <v>#REF!</v>
      </c>
      <c r="P18" s="52" t="e">
        <f>IF(AND('Entry Sheet'!$D$80='Table 4'!J18,'Entry Sheet'!#REF!&gt;200),"TRUE","FALSE")</f>
        <v>#REF!</v>
      </c>
      <c r="Q18" s="52" t="e">
        <f>IF(AND('Entry Sheet'!$D$84='Table 4'!J18,'Entry Sheet'!#REF!&gt;200),"TRUE","FALSE")</f>
        <v>#REF!</v>
      </c>
      <c r="R18" s="9"/>
      <c r="S18" s="19"/>
      <c r="T18" s="52" t="str">
        <f>IF(AND('Entry Sheet'!$D$72='Table 4'!J18,'Entry Sheet'!$H$72&gt;200),"TRUE","FALSE")</f>
        <v>FALSE</v>
      </c>
      <c r="U18" s="52" t="str">
        <f>IF(AND('Entry Sheet'!$D$76='Table 4'!J18,'Entry Sheet'!$H$76&gt;200),"TRUE","FALSE")</f>
        <v>FALSE</v>
      </c>
      <c r="V18" s="52" t="str">
        <f>IF(AND('Entry Sheet'!$D$80='Table 4'!J18,'Entry Sheet'!$H$80&gt;200),"TRUE","FALSE")</f>
        <v>FALSE</v>
      </c>
      <c r="W18" s="52" t="str">
        <f>IF(AND('Entry Sheet'!$D$84='Table 4'!J18,'Entry Sheet'!$H$84&gt;200),"TRUE","FALSE")</f>
        <v>FALSE</v>
      </c>
    </row>
    <row r="19" spans="2:23" x14ac:dyDescent="0.2">
      <c r="B19" s="19"/>
      <c r="C19" s="19"/>
      <c r="D19" s="19"/>
      <c r="E19" s="19"/>
      <c r="F19" s="19"/>
      <c r="G19" s="19"/>
      <c r="H19" s="19"/>
      <c r="I19" s="19"/>
      <c r="J19" s="113" t="s">
        <v>1550</v>
      </c>
      <c r="K19" s="113">
        <v>225</v>
      </c>
      <c r="L19" s="113"/>
      <c r="M19" s="113"/>
      <c r="N19" s="114" t="str">
        <f>IF('Entry Sheet'!E93&gt;K19,"TRUE","FALSE")</f>
        <v>FALSE</v>
      </c>
      <c r="O19" s="114"/>
      <c r="P19" s="114" t="str">
        <f>IF('Entry Sheet'!E93&gt;K19,"TRUE","FALSE")</f>
        <v>FALSE</v>
      </c>
      <c r="Q19" s="114"/>
      <c r="R19" s="115"/>
      <c r="S19" s="113"/>
      <c r="T19" s="114" t="str">
        <f>IF('Entry Sheet'!E93&gt;$K$19,"TRUE","FALSE")</f>
        <v>FALSE</v>
      </c>
      <c r="U19" s="114"/>
      <c r="V19" s="114" t="str">
        <f>IF('Entry Sheet'!E93&gt;$K$19,"TRUE","FALSE")</f>
        <v>FALSE</v>
      </c>
      <c r="W19" s="52"/>
    </row>
    <row r="20" spans="2:23" x14ac:dyDescent="0.2">
      <c r="B20" s="19" t="s">
        <v>1551</v>
      </c>
      <c r="C20" s="19" t="s">
        <v>1552</v>
      </c>
      <c r="D20" s="19"/>
      <c r="E20" s="19"/>
      <c r="F20" s="19"/>
      <c r="G20" s="19"/>
      <c r="H20" s="19"/>
      <c r="I20" s="19"/>
      <c r="J20" s="19" t="s">
        <v>1553</v>
      </c>
      <c r="K20" s="19">
        <v>400</v>
      </c>
      <c r="L20" s="19"/>
      <c r="M20" s="19"/>
      <c r="N20" s="52" t="e">
        <f>IF('Entry Sheet'!#REF!&gt;K20,"TRUE","FALSE")</f>
        <v>#REF!</v>
      </c>
      <c r="O20" s="52"/>
      <c r="P20" s="52"/>
      <c r="Q20" s="52"/>
      <c r="R20" s="9"/>
      <c r="S20" s="19"/>
      <c r="T20" s="52"/>
      <c r="U20" s="52"/>
      <c r="V20" s="52"/>
      <c r="W20" s="52"/>
    </row>
    <row r="21" spans="2:23" x14ac:dyDescent="0.2">
      <c r="B21" s="19" t="s">
        <v>1531</v>
      </c>
      <c r="C21" s="19"/>
      <c r="D21" s="19"/>
      <c r="E21" s="19"/>
      <c r="F21" s="19"/>
      <c r="G21" s="19"/>
      <c r="H21" s="19"/>
      <c r="I21" s="19"/>
      <c r="J21" s="19" t="s">
        <v>1554</v>
      </c>
      <c r="K21" s="19">
        <v>25</v>
      </c>
      <c r="L21" s="19"/>
      <c r="M21" s="19"/>
      <c r="N21" s="19"/>
      <c r="O21" s="19"/>
      <c r="P21" s="19"/>
      <c r="Q21" s="19"/>
      <c r="R21" s="9"/>
      <c r="S21" s="19"/>
      <c r="T21" s="19"/>
      <c r="U21" s="19"/>
      <c r="V21" s="19"/>
      <c r="W21" s="19"/>
    </row>
    <row r="22" spans="2:23" x14ac:dyDescent="0.2">
      <c r="B22" s="19"/>
      <c r="C22" s="19"/>
      <c r="D22" s="19"/>
      <c r="E22" s="19"/>
      <c r="F22" s="19"/>
      <c r="G22" s="19"/>
      <c r="H22" s="19"/>
      <c r="I22" s="19"/>
      <c r="J22" s="19" t="s">
        <v>1555</v>
      </c>
      <c r="K22" s="19">
        <v>25</v>
      </c>
      <c r="L22" s="19"/>
      <c r="M22" s="19"/>
      <c r="N22" s="52" t="e">
        <f>IF('Entry Sheet'!#REF!="Gas Log (gas fireplace)",IF('Entry Sheet'!#REF!&gt;$K$22,"TRUE","FALSE"))</f>
        <v>#REF!</v>
      </c>
      <c r="O22" s="19"/>
      <c r="P22" s="19"/>
      <c r="Q22" s="19"/>
      <c r="R22" s="9"/>
      <c r="S22" s="19"/>
      <c r="T22" s="52" t="b">
        <f>IF('Entry Sheet'!C93="Gas Log (gas fireplace)",IF('Entry Sheet'!C93&gt;$K$22,"TRUE","FALSE"))</f>
        <v>0</v>
      </c>
      <c r="U22" s="19"/>
      <c r="V22" s="19"/>
      <c r="W22" s="19"/>
    </row>
    <row r="23" spans="2:23" x14ac:dyDescent="0.2">
      <c r="B23" s="19"/>
      <c r="C23" s="19"/>
      <c r="D23" s="19"/>
      <c r="E23" s="19"/>
      <c r="F23" s="19"/>
      <c r="G23" s="19"/>
      <c r="H23" s="19"/>
      <c r="I23" s="19"/>
      <c r="J23" s="19" t="s">
        <v>1556</v>
      </c>
      <c r="K23" s="19">
        <v>400</v>
      </c>
      <c r="L23" s="19"/>
      <c r="M23" s="19" t="e">
        <f>IF('Entry Sheet'!#REF!=$J$22,$N$22,$N$23)</f>
        <v>#REF!</v>
      </c>
      <c r="N23" s="52" t="e">
        <f>IF('Entry Sheet'!#REF! ="Gas Log Insert (retrofit)",IF('Entry Sheet'!#REF!&gt;$K$23,"TRUE","FALSE"))</f>
        <v>#REF!</v>
      </c>
      <c r="O23" s="19"/>
      <c r="P23" s="19"/>
      <c r="Q23" s="19"/>
      <c r="R23" s="9"/>
      <c r="S23" s="19" t="b">
        <f>IF('Entry Sheet'!C93=$J$22,$T$22,$T$23)</f>
        <v>0</v>
      </c>
      <c r="T23" s="52" t="b">
        <f>IF('Entry Sheet'!C93 ="Gas Log Insert (retrofit)",IF('Entry Sheet'!C93&gt;$K$23,"TRUE","FALSE"))</f>
        <v>0</v>
      </c>
      <c r="U23" s="19"/>
      <c r="V23" s="19"/>
      <c r="W23" s="19"/>
    </row>
    <row r="24" spans="2:23" x14ac:dyDescent="0.2">
      <c r="B24" s="19" t="s">
        <v>1557</v>
      </c>
      <c r="C24" s="19"/>
      <c r="D24" s="19" t="s">
        <v>1558</v>
      </c>
      <c r="E24" s="19"/>
      <c r="F24" s="19"/>
      <c r="G24" s="19"/>
      <c r="H24" s="19"/>
      <c r="I24" s="19"/>
      <c r="J24" s="113" t="s">
        <v>91</v>
      </c>
      <c r="K24" s="113">
        <v>25</v>
      </c>
      <c r="L24" s="113"/>
      <c r="M24" s="113"/>
      <c r="N24" s="114" t="e">
        <f>IF('Entry Sheet'!#REF!&gt;24,"TRUE","FALSE")</f>
        <v>#REF!</v>
      </c>
      <c r="O24" s="113"/>
      <c r="P24" s="113"/>
      <c r="Q24" s="113"/>
      <c r="R24" s="115"/>
      <c r="S24" s="113"/>
      <c r="T24" s="114" t="str">
        <f>IF('Entry Sheet'!$C$93&gt;24,"TRUE","FALSE")</f>
        <v>FALSE</v>
      </c>
      <c r="U24" s="19"/>
      <c r="V24" s="19"/>
      <c r="W24" s="19"/>
    </row>
    <row r="25" spans="2:23" x14ac:dyDescent="0.2">
      <c r="B25" s="19"/>
      <c r="C25" s="19"/>
      <c r="D25" s="19"/>
      <c r="E25" s="19"/>
      <c r="F25" s="19"/>
      <c r="G25" s="19"/>
      <c r="H25" s="19"/>
      <c r="I25" s="19"/>
      <c r="J25" s="9"/>
      <c r="K25" s="9"/>
      <c r="L25" s="9"/>
      <c r="M25" s="9"/>
      <c r="N25" s="9"/>
      <c r="O25" s="19"/>
      <c r="P25" s="19"/>
      <c r="Q25" s="19"/>
      <c r="R25" s="9"/>
      <c r="S25" s="19"/>
      <c r="T25" s="52"/>
      <c r="U25" s="19"/>
      <c r="V25" s="19"/>
      <c r="W25" s="19"/>
    </row>
    <row r="26" spans="2:23" x14ac:dyDescent="0.2">
      <c r="B26" s="19"/>
      <c r="C26" s="19"/>
      <c r="D26" s="19"/>
      <c r="E26" s="19"/>
      <c r="F26" s="19"/>
      <c r="G26" s="19"/>
      <c r="H26" s="19"/>
      <c r="I26" s="19"/>
      <c r="J26" s="19"/>
      <c r="K26" s="19"/>
      <c r="L26" s="19"/>
      <c r="M26" s="19"/>
      <c r="N26" s="19"/>
      <c r="O26" s="19"/>
      <c r="P26" s="19"/>
      <c r="Q26" s="19"/>
      <c r="R26" s="9"/>
      <c r="S26" s="9"/>
      <c r="T26" s="9"/>
      <c r="U26" s="9"/>
      <c r="V26" s="9"/>
      <c r="W26" s="9"/>
    </row>
    <row r="27" spans="2:23" x14ac:dyDescent="0.2">
      <c r="B27" s="19" t="s">
        <v>1557</v>
      </c>
      <c r="C27" s="19"/>
      <c r="D27" s="19" t="s">
        <v>1558</v>
      </c>
      <c r="E27" s="19"/>
      <c r="F27" s="19"/>
      <c r="G27" s="19"/>
      <c r="H27" s="19"/>
      <c r="I27" s="19"/>
      <c r="J27" s="19"/>
      <c r="K27" s="19"/>
      <c r="L27" s="19"/>
      <c r="M27" s="19"/>
      <c r="N27" s="19"/>
      <c r="O27" s="19"/>
      <c r="P27" s="19"/>
      <c r="Q27" s="19"/>
      <c r="R27" s="9"/>
      <c r="S27" s="9"/>
      <c r="T27" s="9"/>
      <c r="U27" s="9"/>
      <c r="V27" s="9"/>
      <c r="W27" s="9"/>
    </row>
    <row r="28" spans="2:23" x14ac:dyDescent="0.2">
      <c r="B28" s="19"/>
      <c r="C28" s="19"/>
      <c r="D28" s="19"/>
      <c r="E28" s="19"/>
      <c r="F28" s="19"/>
      <c r="G28" s="19"/>
      <c r="H28" s="19"/>
      <c r="I28" s="19"/>
      <c r="J28" s="19"/>
      <c r="K28" s="19"/>
      <c r="L28" s="19"/>
      <c r="M28" s="19"/>
      <c r="N28" s="19"/>
      <c r="O28" s="19"/>
      <c r="P28" s="19"/>
      <c r="Q28" s="19"/>
      <c r="R28" s="9"/>
      <c r="S28" s="9"/>
      <c r="T28" s="9"/>
      <c r="U28" s="9"/>
      <c r="V28" s="9"/>
      <c r="W28" s="9"/>
    </row>
    <row r="29" spans="2:23" x14ac:dyDescent="0.2">
      <c r="B29" s="19"/>
      <c r="C29" s="19"/>
      <c r="D29" s="19"/>
      <c r="E29" s="19"/>
      <c r="F29" s="19"/>
      <c r="G29" s="19"/>
      <c r="H29" s="19"/>
      <c r="I29" s="19"/>
      <c r="J29" s="19"/>
      <c r="K29" s="19"/>
      <c r="L29" s="19"/>
      <c r="M29" s="19"/>
      <c r="N29" s="19"/>
      <c r="O29" s="19"/>
      <c r="P29" s="19"/>
      <c r="Q29" s="19"/>
      <c r="R29" s="9"/>
      <c r="S29" s="9"/>
      <c r="T29" s="9"/>
      <c r="U29" s="9"/>
      <c r="V29" s="9"/>
      <c r="W29" s="9"/>
    </row>
    <row r="30" spans="2:23" x14ac:dyDescent="0.2">
      <c r="B30" s="19" t="e">
        <f>IF('Entry Sheet'!#REF!=25,2,0)</f>
        <v>#REF!</v>
      </c>
      <c r="C30" s="19"/>
      <c r="D30" s="19"/>
      <c r="E30" s="19"/>
      <c r="F30" s="19"/>
      <c r="G30" s="19"/>
      <c r="H30" s="19" t="e">
        <f>IF(AND('Entry Sheet'!#REF!&gt;=100,'Entry Sheet'!#REF!&lt;=300),1,IF('Entry Sheet'!#REF!&gt;=300,2,0)) + IF(AND('Entry Sheet'!#REF!&gt;=100,'Entry Sheet'!#REF!&lt;=300),1,IF('Entry Sheet'!#REF!&gt;=300,2,0))</f>
        <v>#REF!</v>
      </c>
      <c r="I30" s="19"/>
      <c r="J30" s="19" t="e">
        <f>IF('Entry Sheet'!#REF!="Pass",1,0)</f>
        <v>#REF!</v>
      </c>
      <c r="K30" s="19"/>
      <c r="L30" s="19"/>
      <c r="M30" s="19"/>
      <c r="N30" s="19"/>
      <c r="O30" s="19"/>
      <c r="P30" s="19"/>
      <c r="Q30" s="19"/>
      <c r="R30" s="9"/>
      <c r="S30" s="9"/>
      <c r="T30" s="9"/>
      <c r="U30" s="9"/>
      <c r="V30" s="9"/>
      <c r="W30" s="9"/>
    </row>
    <row r="31" spans="2:23" x14ac:dyDescent="0.2">
      <c r="B31" s="19" t="e">
        <f>IF(AND('Entry Sheet'!#REF!&gt;=100,'Entry Sheet'!#REF!&lt;=300),1,IF('Entry Sheet'!#REF!&gt;=300,2,0))</f>
        <v>#REF!</v>
      </c>
      <c r="C31" s="19"/>
      <c r="D31" s="19"/>
      <c r="E31" s="19"/>
      <c r="F31" s="19"/>
      <c r="G31" s="19"/>
      <c r="H31" s="19">
        <v>0</v>
      </c>
      <c r="I31" s="19"/>
      <c r="J31" s="19" t="e">
        <f>IF('Entry Sheet'!#REF!&gt;=35,0,1)</f>
        <v>#REF!</v>
      </c>
      <c r="K31" s="19"/>
      <c r="L31" s="19"/>
      <c r="M31" s="19"/>
      <c r="N31" s="19"/>
      <c r="O31" s="19"/>
      <c r="P31" s="19"/>
      <c r="Q31" s="19"/>
      <c r="R31" s="9"/>
      <c r="S31" s="9"/>
      <c r="T31" s="9"/>
      <c r="U31" s="9"/>
      <c r="V31" s="9"/>
      <c r="W31" s="9"/>
    </row>
  </sheetData>
  <pageMargins left="0.7" right="0.7" top="0.75" bottom="0.75" header="0.3" footer="0.3"/>
  <ignoredErrors>
    <ignoredError sqref="O5:Q7 N10:Q18 N20 N22:N24 M23 B30:B31 H30 J30:J31 O4:Q4" evalErro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3:F28"/>
  <sheetViews>
    <sheetView workbookViewId="0"/>
  </sheetViews>
  <sheetFormatPr defaultColWidth="8.875" defaultRowHeight="14.25" x14ac:dyDescent="0.2"/>
  <cols>
    <col min="1" max="1" width="30.375" customWidth="1"/>
    <col min="3" max="3" width="10.125" bestFit="1" customWidth="1"/>
  </cols>
  <sheetData>
    <row r="3" spans="1:6" x14ac:dyDescent="0.2">
      <c r="A3" s="9"/>
      <c r="B3" s="9" t="e">
        <f>SUM(B10:B28)</f>
        <v>#REF!</v>
      </c>
      <c r="C3" s="181" t="e">
        <f>#REF!*10</f>
        <v>#REF!</v>
      </c>
      <c r="D3" s="9"/>
      <c r="E3" s="9"/>
      <c r="F3" s="9"/>
    </row>
    <row r="4" spans="1:6" x14ac:dyDescent="0.2">
      <c r="A4" s="9"/>
      <c r="B4" s="9" t="s">
        <v>1559</v>
      </c>
      <c r="C4" s="193" t="e">
        <f>C23*10</f>
        <v>#REF!</v>
      </c>
      <c r="D4" s="9"/>
      <c r="E4" s="9"/>
      <c r="F4" s="9"/>
    </row>
    <row r="9" spans="1:6" x14ac:dyDescent="0.2">
      <c r="A9" s="9"/>
      <c r="B9" s="9"/>
      <c r="C9" s="9" t="s">
        <v>1560</v>
      </c>
      <c r="D9" s="9"/>
      <c r="E9" s="9" t="s">
        <v>1561</v>
      </c>
      <c r="F9" s="9"/>
    </row>
    <row r="10" spans="1:6" x14ac:dyDescent="0.2">
      <c r="A10" s="175" t="s">
        <v>1562</v>
      </c>
      <c r="B10" s="175" t="e">
        <f>IF(AND(#REF!="Select,No",#REF!="Select,No"),0,IF(#REF!="X",0,IF(#REF!="X",1,0)))</f>
        <v>#REF!</v>
      </c>
      <c r="C10" s="175" t="e">
        <f>IF(AND(#REF!="No",#REF!="No"),0,IF(#REF!="X",0,IF(#REF!="X",25,0)))</f>
        <v>#REF!</v>
      </c>
      <c r="D10" s="9"/>
      <c r="E10" s="9" t="e">
        <f>IF(AND(#REF!="No",#REF!="No"),0,IF(#REF!="X",0,IF(#REF!="X",1,0)))</f>
        <v>#REF!</v>
      </c>
      <c r="F10" s="182" t="e">
        <f>IF(SUM(E10:E15)=2,15,IF(SUM(E10:E15)=3,35,0))</f>
        <v>#REF!</v>
      </c>
    </row>
    <row r="11" spans="1:6" x14ac:dyDescent="0.2">
      <c r="A11" s="175" t="s">
        <v>1563</v>
      </c>
      <c r="B11" s="175" t="e">
        <f>IF(AND(#REF!="No",#REF!="No"),0,IF(#REF!="X",0,IF(#REF!="X",1,0)))</f>
        <v>#REF!</v>
      </c>
      <c r="C11" s="175" t="e">
        <f>IF(AND(#REF!="No",#REF!="No"),0,IF(#REF!="X",0,IF(#REF!="X",45,0)))</f>
        <v>#REF!</v>
      </c>
      <c r="D11" s="9"/>
      <c r="E11" s="9" t="e">
        <f>IF(AND(#REF!="No",#REF!="No"),0,IF(#REF!="X",0,IF(#REF!="X",1,0)))</f>
        <v>#REF!</v>
      </c>
      <c r="F11" s="9"/>
    </row>
    <row r="12" spans="1:6" x14ac:dyDescent="0.2">
      <c r="A12" s="177" t="s">
        <v>106</v>
      </c>
      <c r="B12" s="177" t="e">
        <f>IF(AND(#REF!="No",#REF!="No"),0,IF(#REF!="X",1,0))</f>
        <v>#REF!</v>
      </c>
      <c r="C12" s="177" t="e">
        <f>IF(AND(#REF!="No",#REF!="No"),0,IF(#REF!="X",40,0))</f>
        <v>#REF!</v>
      </c>
      <c r="D12" s="9"/>
      <c r="E12" s="9"/>
      <c r="F12" s="9"/>
    </row>
    <row r="13" spans="1:6" x14ac:dyDescent="0.2">
      <c r="A13" s="177" t="s">
        <v>1564</v>
      </c>
      <c r="B13" s="177" t="e">
        <f>IF(AND(#REF!="No",#REF!="No"),0,IF(#REF!="x",0,IF(#REF!="X",1,0)))</f>
        <v>#REF!</v>
      </c>
      <c r="C13" s="177" t="e">
        <f>IF(AND(#REF!="No",#REF!="No"),0,IF(#REF!="x",0,IF(#REF!="X",25,0)))</f>
        <v>#REF!</v>
      </c>
      <c r="D13" s="9"/>
      <c r="E13" s="9" t="e">
        <f>IF(AND(#REF!="No",#REF!="No"),0,IF(#REF!="X",0,IF(#REF!="X",1,0)))</f>
        <v>#REF!</v>
      </c>
      <c r="F13" s="9"/>
    </row>
    <row r="14" spans="1:6" x14ac:dyDescent="0.2">
      <c r="A14" s="177" t="s">
        <v>1565</v>
      </c>
      <c r="B14" s="177" t="e">
        <f>IF(AND(#REF!="No",#REF!="No"),0,IF(#REF!="X",0,IF(#REF!="X",1,0)))</f>
        <v>#REF!</v>
      </c>
      <c r="C14" s="177" t="e">
        <f>IF(AND(#REF!="No",#REF!="No"),0,IF(#REF!="X",0,IF(#REF!="X",65,0)))</f>
        <v>#REF!</v>
      </c>
      <c r="D14" s="9"/>
      <c r="E14" s="9" t="e">
        <f>IF(AND(#REF!="No",#REF!="No"),0,IF(#REF!="X",0,IF(#REF!="X",1,0)))</f>
        <v>#REF!</v>
      </c>
      <c r="F14" s="9"/>
    </row>
    <row r="15" spans="1:6" x14ac:dyDescent="0.2">
      <c r="A15" s="178" t="s">
        <v>103</v>
      </c>
      <c r="B15" s="178" t="e">
        <f>IF(AND(#REF!="No",#REF!="No"),0,IF(#REF!="X",1,0))</f>
        <v>#REF!</v>
      </c>
      <c r="C15" s="178" t="e">
        <f>IF(AND(#REF!="No",#REF!="No"),0,IF(#REF!="X",65,0))</f>
        <v>#REF!</v>
      </c>
      <c r="D15" s="9"/>
      <c r="E15" s="9" t="e">
        <f>IF(AND(#REF!="No",#REF!="No"),0,IF(#REF!="X",1,0))</f>
        <v>#REF!</v>
      </c>
      <c r="F15" s="9"/>
    </row>
    <row r="16" spans="1:6" x14ac:dyDescent="0.2">
      <c r="A16" s="178" t="s">
        <v>1566</v>
      </c>
      <c r="B16" s="178" t="e">
        <f>IF(AND(#REF!="No",#REF!="No"),0,IF(#REF!="X",1,0))</f>
        <v>#REF!</v>
      </c>
      <c r="C16" s="178" t="e">
        <f>IF(AND(#REF!="No",#REF!="No"),0,IF(#REF!="X",55,0))</f>
        <v>#REF!</v>
      </c>
      <c r="D16" s="9"/>
      <c r="E16" s="9"/>
      <c r="F16" s="9"/>
    </row>
    <row r="17" spans="1:3" x14ac:dyDescent="0.2">
      <c r="A17" s="178" t="s">
        <v>1567</v>
      </c>
      <c r="B17" s="178" t="e">
        <f>IF(AND(#REF!="No",#REF!="No"),0,IF(#REF!="X",1,0))</f>
        <v>#REF!</v>
      </c>
      <c r="C17" s="178" t="e">
        <f>IF(AND(#REF!="No",#REF!="No"),0,IF(#REF!="X",50,0))</f>
        <v>#REF!</v>
      </c>
    </row>
    <row r="18" spans="1:3" x14ac:dyDescent="0.2">
      <c r="A18" s="115" t="s">
        <v>1568</v>
      </c>
      <c r="B18" s="115" t="e">
        <f>IF(AND(#REF!="No",#REF!="No"),0,IF(OR(#REF!="X",#REF!="X"),0,IF(#REF!="no",0,IF(#REF!="X",1,0))))</f>
        <v>#REF!</v>
      </c>
      <c r="C18" s="115" t="e">
        <f>IF(AND(#REF!="No",#REF!="No"),0,IF(OR(#REF!="X",#REF!="X"),0,IF(#REF!="no",0,IF(#REF!="X",70,0))))</f>
        <v>#REF!</v>
      </c>
    </row>
    <row r="19" spans="1:3" x14ac:dyDescent="0.2">
      <c r="A19" s="115" t="s">
        <v>1569</v>
      </c>
      <c r="B19" s="115" t="e">
        <f>IF(AND(#REF!="No",#REF!="No"),0,IF(#REF!="no",0,IF(#REF!="X",1,0)))</f>
        <v>#REF!</v>
      </c>
      <c r="C19" s="115" t="e">
        <f>IF(AND(#REF!="No",#REF!="No"),0,IF(#REF!="no",0,IF(#REF!="X",75,0)))</f>
        <v>#REF!</v>
      </c>
    </row>
    <row r="20" spans="1:3" x14ac:dyDescent="0.2">
      <c r="A20" s="115" t="s">
        <v>1570</v>
      </c>
      <c r="B20" s="115" t="e">
        <f>IF(AND(#REF!="No",#REF!="No"),0,IF(#REF!="no",0,IF(#REF!="X",1,0)))</f>
        <v>#REF!</v>
      </c>
      <c r="C20" s="115" t="e">
        <f>IF(AND(#REF!="No",#REF!="No"),0,IF(#REF!="no",0,IF(#REF!="X",75,0)))</f>
        <v>#REF!</v>
      </c>
    </row>
    <row r="21" spans="1:3" x14ac:dyDescent="0.2">
      <c r="A21" s="115" t="s">
        <v>1571</v>
      </c>
      <c r="B21" s="115" t="e">
        <f>IF(AND(#REF!="No",#REF!="No"),0,IF(OR(#REF!="X",#REF!="X"),0,IF(#REF!="no",0,IF(#REF!="X",1,0))))</f>
        <v>#REF!</v>
      </c>
      <c r="C21" s="115" t="e">
        <f>IF(AND(#REF!="No",#REF!="No"),0,IF(OR(#REF!="X",#REF!="X"),0,IF(#REF!="no",0,IF(#REF!="X",60,0))))</f>
        <v>#REF!</v>
      </c>
    </row>
    <row r="22" spans="1:3" s="9" customFormat="1" x14ac:dyDescent="0.2">
      <c r="A22" s="115" t="s">
        <v>110</v>
      </c>
      <c r="B22" s="115" t="e">
        <f>IF(AND(#REF!="No",#REF!="No"),0,IF(OR(#REF!="X",#REF!="X"),0,IF(#REF!="no",0,IF(#REF!="X",1,0))))</f>
        <v>#REF!</v>
      </c>
      <c r="C22" s="115" t="e">
        <f>IF(AND(#REF!="No",#REF!="No"),0,IF(OR(#REF!="X",#REF!="X"),0,IF(#REF!="no",0,IF(#REF!="X",40,0))))</f>
        <v>#REF!</v>
      </c>
    </row>
    <row r="23" spans="1:3" s="9" customFormat="1" x14ac:dyDescent="0.2">
      <c r="A23" s="115" t="s">
        <v>1572</v>
      </c>
      <c r="B23" s="115" t="e">
        <f>IF(AND(#REF!="No",#REF!="No"),0,IF(#REF!="X",1,0))</f>
        <v>#REF!</v>
      </c>
      <c r="C23" s="115" t="e">
        <f>IF(AND(#REF!="No",#REF!="No"),0,IF(#REF!="no",0,IF(#REF!="X",7.5,0)))</f>
        <v>#REF!</v>
      </c>
    </row>
    <row r="24" spans="1:3" x14ac:dyDescent="0.2">
      <c r="A24" s="180" t="s">
        <v>108</v>
      </c>
      <c r="B24" s="180" t="e">
        <f>IF(AND(#REF!="No",#REF!="No"),0,IF(#REF!="X",1,0))</f>
        <v>#REF!</v>
      </c>
      <c r="C24" s="180" t="e">
        <f>IF(AND(#REF!="No",#REF!="No"),0,IF(#REF!="X",70,0))</f>
        <v>#REF!</v>
      </c>
    </row>
    <row r="25" spans="1:3" x14ac:dyDescent="0.2">
      <c r="A25" s="179" t="s">
        <v>1573</v>
      </c>
      <c r="B25" s="179" t="e">
        <f>IF(AND(#REF!="No",#REF!="No"),0,IF(OR(#REF!="X",#REF!="X",#REF!="X"),0,IF(#REF!="no",0,IF(#REF!="X",1,0))))</f>
        <v>#REF!</v>
      </c>
      <c r="C25" s="179" t="e">
        <f>IF(AND(#REF!="No",#REF!="No"),0,IF(OR(#REF!="X",#REF!="X",#REF!="X"),0,IF(#REF!="no",0,IF(#REF!="X",40,0))))</f>
        <v>#REF!</v>
      </c>
    </row>
    <row r="26" spans="1:3" x14ac:dyDescent="0.2">
      <c r="A26" s="179" t="s">
        <v>1574</v>
      </c>
      <c r="B26" s="179" t="e">
        <f>IF(AND(#REF!="No",#REF!="No"),0,IF(OR(#REF!="X",#REF!="X",#REF!="X"),0,IF(#REF!="no",0,IF(#REF!="X",1,0))))</f>
        <v>#REF!</v>
      </c>
      <c r="C26" s="179" t="e">
        <f>IF(AND(#REF!="No",#REF!="No"),0,IF(OR(#REF!="X",#REF!="X",#REF!="X"),0,IF(#REF!="no",0,IF(#REF!="X",35,0))))</f>
        <v>#REF!</v>
      </c>
    </row>
    <row r="27" spans="1:3" x14ac:dyDescent="0.2">
      <c r="A27" s="179" t="s">
        <v>1575</v>
      </c>
      <c r="B27" s="179" t="e">
        <f>IF(AND(#REF!="No",#REF!="No"),0,IF(OR(#REF!="X",#REF!="X",#REF!="X"),0,IF(#REF!="no",0,IF(#REF!="X",1,0))))</f>
        <v>#REF!</v>
      </c>
      <c r="C27" s="179" t="e">
        <f>IF(AND(#REF!="No",#REF!="No"),0,IF(OR(#REF!="X",#REF!="X",#REF!="X"),0,IF(#REF!="no",0,IF(#REF!="X",45,0))))</f>
        <v>#REF!</v>
      </c>
    </row>
    <row r="28" spans="1:3" x14ac:dyDescent="0.2">
      <c r="A28" s="179" t="s">
        <v>107</v>
      </c>
      <c r="B28" s="179" t="e">
        <f>IF(AND(#REF!="No",#REF!="No"),0,IF(OR(#REF!="X",#REF!="X",#REF!="X"),0,IF(#REF!="no",0,IF(#REF!="X",1,0))))</f>
        <v>#REF!</v>
      </c>
      <c r="C28" s="179" t="e">
        <f>IF(AND(#REF!="No",#REF!="No"),0,IF(OR(#REF!="X",#REF!="X",#REF!="X"),0,IF(#REF!="no",0,IF(#REF!="X",90,0))))</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39997558519241921"/>
    <pageSetUpPr fitToPage="1"/>
  </sheetPr>
  <dimension ref="A1:AO147"/>
  <sheetViews>
    <sheetView showGridLines="0" tabSelected="1" topLeftCell="D1" workbookViewId="0">
      <selection activeCell="G8" sqref="G8"/>
    </sheetView>
  </sheetViews>
  <sheetFormatPr defaultColWidth="0" defaultRowHeight="14.25" zeroHeight="1" x14ac:dyDescent="0.2"/>
  <cols>
    <col min="1" max="1" width="2.625" style="34" customWidth="1"/>
    <col min="2" max="2" width="39.625" style="34" bestFit="1" customWidth="1"/>
    <col min="3" max="3" width="17.75" style="34" customWidth="1"/>
    <col min="4" max="4" width="21.5" style="34" customWidth="1"/>
    <col min="5" max="5" width="21.625" style="34" customWidth="1"/>
    <col min="6" max="6" width="15.625" style="34" customWidth="1"/>
    <col min="7" max="7" width="26.875" style="34" customWidth="1"/>
    <col min="8" max="9" width="15.625" style="34" customWidth="1"/>
    <col min="10" max="10" width="10.625" style="34" customWidth="1"/>
    <col min="11" max="11" width="12.25" style="34" customWidth="1"/>
    <col min="12" max="12" width="3.5" customWidth="1"/>
    <col min="13" max="13" width="2.625" style="55" hidden="1" customWidth="1"/>
    <col min="14" max="16384" width="15.625" style="34" hidden="1"/>
  </cols>
  <sheetData>
    <row r="1" spans="1:35" ht="27.75" thickBot="1" x14ac:dyDescent="0.45">
      <c r="A1" s="18"/>
      <c r="B1" s="18"/>
      <c r="C1" s="18"/>
      <c r="D1" s="18"/>
      <c r="E1" s="18"/>
      <c r="F1" s="54"/>
      <c r="G1" s="18"/>
      <c r="H1" s="18"/>
      <c r="I1" s="18"/>
      <c r="J1" s="18"/>
      <c r="M1" s="34"/>
      <c r="N1" s="55"/>
    </row>
    <row r="2" spans="1:35" ht="15" x14ac:dyDescent="0.2">
      <c r="B2" s="401" t="s">
        <v>19</v>
      </c>
      <c r="C2" s="402"/>
      <c r="D2" s="403"/>
      <c r="E2" s="78"/>
      <c r="F2" s="48"/>
      <c r="G2" s="341" t="s">
        <v>20</v>
      </c>
      <c r="H2" s="342"/>
      <c r="I2" s="343"/>
      <c r="J2" s="55"/>
      <c r="M2" s="34"/>
      <c r="X2" s="42"/>
      <c r="Y2" s="54"/>
      <c r="Z2" s="54"/>
      <c r="AA2" s="54"/>
      <c r="AB2" s="54"/>
      <c r="AC2" s="54"/>
      <c r="AD2" s="54"/>
      <c r="AE2" s="54"/>
      <c r="AF2" s="54"/>
      <c r="AG2" s="54"/>
      <c r="AH2" s="54"/>
      <c r="AI2" s="54"/>
    </row>
    <row r="3" spans="1:35" ht="15" x14ac:dyDescent="0.2">
      <c r="B3" s="56" t="s">
        <v>21</v>
      </c>
      <c r="C3" s="344"/>
      <c r="D3" s="345"/>
      <c r="E3" s="163"/>
      <c r="F3" s="48"/>
      <c r="G3" s="167" t="s">
        <v>22</v>
      </c>
      <c r="H3" s="116" t="s">
        <v>23</v>
      </c>
      <c r="I3" s="117" t="s">
        <v>24</v>
      </c>
      <c r="J3" s="55"/>
      <c r="M3" s="34"/>
      <c r="X3" s="42"/>
      <c r="Y3" s="54"/>
      <c r="Z3" s="54"/>
      <c r="AA3" s="54"/>
      <c r="AB3" s="54"/>
      <c r="AC3" s="54"/>
      <c r="AD3" s="54"/>
      <c r="AE3" s="54"/>
      <c r="AF3" s="54"/>
      <c r="AG3" s="54"/>
      <c r="AH3" s="54"/>
      <c r="AI3" s="54"/>
    </row>
    <row r="4" spans="1:35" ht="15" x14ac:dyDescent="0.2">
      <c r="B4" s="56" t="s">
        <v>25</v>
      </c>
      <c r="C4" s="344"/>
      <c r="D4" s="345"/>
      <c r="E4" s="163"/>
      <c r="F4" s="48"/>
      <c r="G4" s="168" t="s">
        <v>26</v>
      </c>
      <c r="H4" s="118"/>
      <c r="I4" s="119"/>
      <c r="J4" s="55"/>
      <c r="M4" s="34"/>
      <c r="X4" s="42"/>
      <c r="Y4" s="54"/>
      <c r="Z4" s="54"/>
      <c r="AA4" s="54"/>
      <c r="AB4" s="54"/>
      <c r="AC4" s="54"/>
      <c r="AD4" s="54"/>
      <c r="AE4" s="54"/>
      <c r="AF4" s="54"/>
      <c r="AG4" s="54"/>
      <c r="AH4" s="54"/>
      <c r="AI4" s="54"/>
    </row>
    <row r="5" spans="1:35" ht="15" x14ac:dyDescent="0.2">
      <c r="B5" s="49" t="s">
        <v>27</v>
      </c>
      <c r="C5" s="344"/>
      <c r="D5" s="345"/>
      <c r="E5" s="163"/>
      <c r="F5" s="48"/>
      <c r="G5" s="168" t="s">
        <v>28</v>
      </c>
      <c r="H5" s="118"/>
      <c r="I5" s="119"/>
      <c r="J5" s="55"/>
      <c r="M5" s="34"/>
      <c r="X5" s="42"/>
      <c r="Y5" s="54"/>
      <c r="Z5" s="54"/>
      <c r="AA5" s="54"/>
      <c r="AB5" s="54"/>
      <c r="AC5" s="54"/>
      <c r="AD5" s="54"/>
      <c r="AE5" s="54"/>
      <c r="AF5" s="54"/>
      <c r="AG5" s="54"/>
      <c r="AH5" s="54"/>
      <c r="AI5" s="54"/>
    </row>
    <row r="6" spans="1:35" ht="15" x14ac:dyDescent="0.2">
      <c r="B6" s="156" t="s">
        <v>29</v>
      </c>
      <c r="C6" s="406" t="s">
        <v>30</v>
      </c>
      <c r="D6" s="407"/>
      <c r="E6" s="163"/>
      <c r="F6" s="48"/>
      <c r="G6" s="168" t="s">
        <v>31</v>
      </c>
      <c r="H6" s="118"/>
      <c r="I6" s="119"/>
      <c r="J6" s="55"/>
      <c r="M6" s="34"/>
      <c r="X6" s="42"/>
      <c r="Y6" s="54"/>
      <c r="Z6" s="54"/>
      <c r="AA6" s="54"/>
      <c r="AB6" s="54"/>
      <c r="AC6" s="54"/>
      <c r="AD6" s="54"/>
      <c r="AE6" s="54"/>
      <c r="AF6" s="54"/>
      <c r="AG6" s="54"/>
      <c r="AH6" s="54"/>
      <c r="AI6" s="54"/>
    </row>
    <row r="7" spans="1:35" ht="15" x14ac:dyDescent="0.2">
      <c r="B7" s="156" t="s">
        <v>32</v>
      </c>
      <c r="C7" s="344"/>
      <c r="D7" s="345"/>
      <c r="E7" s="163"/>
      <c r="F7" s="48"/>
      <c r="G7" s="167" t="s">
        <v>33</v>
      </c>
      <c r="H7" s="116"/>
      <c r="I7" s="117"/>
      <c r="J7" s="55"/>
      <c r="M7" s="34"/>
      <c r="X7" s="42"/>
      <c r="Y7" s="54"/>
      <c r="Z7" s="54"/>
      <c r="AA7" s="54"/>
      <c r="AB7" s="54"/>
      <c r="AC7" s="54"/>
      <c r="AD7" s="54"/>
      <c r="AE7" s="54"/>
      <c r="AF7" s="54"/>
      <c r="AG7" s="54"/>
      <c r="AH7" s="54"/>
      <c r="AI7" s="54"/>
    </row>
    <row r="8" spans="1:35" ht="15" x14ac:dyDescent="0.2">
      <c r="B8" s="156" t="s">
        <v>34</v>
      </c>
      <c r="C8" s="404"/>
      <c r="D8" s="405"/>
      <c r="E8" s="163"/>
      <c r="F8" s="48"/>
      <c r="G8" s="168" t="s">
        <v>26</v>
      </c>
      <c r="H8" s="118"/>
      <c r="I8" s="119"/>
      <c r="J8" s="55"/>
      <c r="M8" s="34"/>
      <c r="X8" s="42"/>
      <c r="Y8" s="54"/>
      <c r="Z8" s="54"/>
      <c r="AA8" s="54"/>
      <c r="AB8" s="54"/>
      <c r="AC8" s="54"/>
      <c r="AD8" s="54"/>
      <c r="AE8" s="54"/>
      <c r="AF8" s="54"/>
      <c r="AG8" s="54"/>
      <c r="AH8" s="54"/>
      <c r="AI8" s="54"/>
    </row>
    <row r="9" spans="1:35" ht="15" x14ac:dyDescent="0.2">
      <c r="B9" s="184"/>
      <c r="C9" s="199" t="s">
        <v>1576</v>
      </c>
      <c r="D9" s="186" t="s">
        <v>24</v>
      </c>
      <c r="E9" s="171"/>
      <c r="F9" s="48"/>
      <c r="G9" s="168" t="s">
        <v>28</v>
      </c>
      <c r="H9" s="118"/>
      <c r="I9" s="119"/>
      <c r="J9" s="55"/>
      <c r="M9" s="34"/>
      <c r="X9" s="42"/>
      <c r="Y9" s="54"/>
      <c r="Z9" s="54"/>
      <c r="AA9" s="54"/>
      <c r="AB9" s="54"/>
      <c r="AC9" s="54"/>
      <c r="AD9" s="54"/>
      <c r="AE9" s="54"/>
      <c r="AF9" s="54"/>
      <c r="AG9" s="54"/>
      <c r="AH9" s="54"/>
      <c r="AI9" s="54"/>
    </row>
    <row r="10" spans="1:35" ht="15" x14ac:dyDescent="0.2">
      <c r="B10" s="46" t="s">
        <v>35</v>
      </c>
      <c r="C10" s="183"/>
      <c r="D10" s="185"/>
      <c r="E10" s="222"/>
      <c r="F10" s="223"/>
      <c r="G10" s="168" t="s">
        <v>31</v>
      </c>
      <c r="H10" s="118"/>
      <c r="I10" s="119"/>
      <c r="J10" s="55"/>
      <c r="M10" s="34"/>
      <c r="X10" s="42"/>
      <c r="Y10" s="54"/>
      <c r="Z10" s="54"/>
      <c r="AA10" s="54"/>
      <c r="AB10" s="54"/>
      <c r="AC10" s="54"/>
      <c r="AD10" s="54"/>
      <c r="AE10" s="54"/>
      <c r="AF10" s="54"/>
      <c r="AG10" s="54"/>
      <c r="AH10" s="54"/>
      <c r="AI10" s="54"/>
    </row>
    <row r="11" spans="1:35" ht="15" x14ac:dyDescent="0.2">
      <c r="B11" s="46" t="s">
        <v>36</v>
      </c>
      <c r="C11" s="200"/>
      <c r="D11" s="201"/>
      <c r="E11" s="224"/>
      <c r="F11" s="223"/>
      <c r="G11" s="167" t="s">
        <v>37</v>
      </c>
      <c r="H11" s="116"/>
      <c r="I11" s="117"/>
      <c r="J11" s="55"/>
      <c r="M11" s="34"/>
      <c r="X11" s="42"/>
      <c r="Y11" s="54"/>
      <c r="Z11" s="54"/>
      <c r="AA11" s="54"/>
      <c r="AB11" s="54"/>
      <c r="AC11" s="54"/>
      <c r="AD11" s="54"/>
      <c r="AE11" s="54"/>
      <c r="AF11" s="54"/>
      <c r="AG11" s="54"/>
      <c r="AH11" s="54"/>
      <c r="AI11" s="54"/>
    </row>
    <row r="12" spans="1:35" ht="15.75" thickBot="1" x14ac:dyDescent="0.25">
      <c r="B12" s="47" t="s">
        <v>38</v>
      </c>
      <c r="C12" s="203"/>
      <c r="D12" s="204"/>
      <c r="E12" s="224"/>
      <c r="F12" s="223"/>
      <c r="G12" s="168" t="s">
        <v>39</v>
      </c>
      <c r="H12" s="118" t="s">
        <v>40</v>
      </c>
      <c r="I12" s="119" t="s">
        <v>40</v>
      </c>
      <c r="J12" s="55"/>
      <c r="M12" s="34"/>
      <c r="X12" s="42"/>
      <c r="Y12" s="54"/>
      <c r="Z12" s="54"/>
      <c r="AA12" s="54"/>
      <c r="AB12" s="54"/>
      <c r="AC12" s="54"/>
      <c r="AD12" s="54"/>
      <c r="AE12" s="54"/>
      <c r="AF12" s="54"/>
      <c r="AG12" s="54"/>
      <c r="AH12" s="54"/>
      <c r="AI12" s="54"/>
    </row>
    <row r="13" spans="1:35" ht="15.75" thickBot="1" x14ac:dyDescent="0.25">
      <c r="B13" s="84"/>
      <c r="C13" s="163"/>
      <c r="D13" s="163"/>
      <c r="E13" s="224"/>
      <c r="F13" s="223"/>
      <c r="G13" s="168" t="s">
        <v>26</v>
      </c>
      <c r="H13" s="118"/>
      <c r="I13" s="119"/>
      <c r="J13" s="55"/>
      <c r="M13" s="34"/>
      <c r="X13" s="42"/>
      <c r="Y13" s="54"/>
      <c r="Z13" s="54"/>
      <c r="AA13" s="54"/>
      <c r="AB13" s="54"/>
      <c r="AC13" s="54"/>
      <c r="AD13" s="54"/>
      <c r="AE13" s="54"/>
      <c r="AF13" s="54"/>
      <c r="AG13" s="54"/>
      <c r="AH13" s="54"/>
      <c r="AI13" s="54"/>
    </row>
    <row r="14" spans="1:35" ht="15" x14ac:dyDescent="0.2">
      <c r="B14" s="392" t="s">
        <v>41</v>
      </c>
      <c r="C14" s="393"/>
      <c r="D14" s="394"/>
      <c r="E14" s="174"/>
      <c r="F14" s="223"/>
      <c r="G14" s="168" t="s">
        <v>28</v>
      </c>
      <c r="H14" s="118"/>
      <c r="I14" s="119"/>
      <c r="J14" s="55"/>
      <c r="M14" s="34"/>
      <c r="X14" s="42"/>
      <c r="Y14" s="54"/>
      <c r="Z14" s="54"/>
      <c r="AA14" s="54"/>
      <c r="AB14" s="54"/>
      <c r="AC14" s="54"/>
      <c r="AD14" s="54"/>
      <c r="AE14" s="54"/>
      <c r="AF14" s="54"/>
      <c r="AG14" s="54"/>
      <c r="AH14" s="54"/>
      <c r="AI14" s="54"/>
    </row>
    <row r="15" spans="1:35" ht="15" x14ac:dyDescent="0.2">
      <c r="B15" s="165" t="s">
        <v>42</v>
      </c>
      <c r="C15" s="395"/>
      <c r="D15" s="396"/>
      <c r="E15" s="387" t="str">
        <f>IF(C15&gt;=2017,"Only homes built in 2001 or earlier are eligible for BayREN Home+ rebates","")</f>
        <v/>
      </c>
      <c r="F15" s="388"/>
      <c r="G15" s="168" t="s">
        <v>31</v>
      </c>
      <c r="H15" s="118"/>
      <c r="I15" s="119"/>
      <c r="J15" s="55"/>
      <c r="M15" s="34"/>
      <c r="X15" s="42"/>
      <c r="Y15" s="54"/>
      <c r="Z15" s="54"/>
      <c r="AA15" s="54"/>
      <c r="AB15" s="54"/>
      <c r="AC15" s="54"/>
      <c r="AD15" s="54"/>
      <c r="AE15" s="54"/>
      <c r="AF15" s="54"/>
      <c r="AG15" s="54"/>
      <c r="AH15" s="54"/>
      <c r="AI15" s="54"/>
    </row>
    <row r="16" spans="1:35" ht="15" x14ac:dyDescent="0.2">
      <c r="B16" s="165" t="s">
        <v>43</v>
      </c>
      <c r="C16" s="397"/>
      <c r="D16" s="398"/>
      <c r="E16" s="387"/>
      <c r="F16" s="388"/>
      <c r="G16" s="167" t="s">
        <v>44</v>
      </c>
      <c r="H16" s="116"/>
      <c r="I16" s="117"/>
      <c r="J16" s="55"/>
      <c r="M16" s="34"/>
      <c r="X16" s="42"/>
      <c r="Y16" s="54"/>
      <c r="Z16" s="54"/>
      <c r="AA16" s="54"/>
      <c r="AB16" s="54"/>
      <c r="AC16" s="54"/>
      <c r="AD16" s="54"/>
      <c r="AE16" s="54"/>
      <c r="AF16" s="54"/>
      <c r="AG16" s="54"/>
      <c r="AH16" s="54"/>
      <c r="AI16" s="54"/>
    </row>
    <row r="17" spans="1:35" ht="15" x14ac:dyDescent="0.2">
      <c r="B17" s="165" t="s">
        <v>45</v>
      </c>
      <c r="C17" s="397"/>
      <c r="D17" s="398"/>
      <c r="E17" s="387"/>
      <c r="F17" s="388"/>
      <c r="G17" s="168" t="s">
        <v>46</v>
      </c>
      <c r="H17" s="118" t="s">
        <v>40</v>
      </c>
      <c r="I17" s="119" t="s">
        <v>40</v>
      </c>
      <c r="J17" s="55"/>
      <c r="M17" s="34"/>
      <c r="X17" s="42"/>
      <c r="Y17" s="54"/>
      <c r="Z17" s="54"/>
      <c r="AA17" s="54"/>
      <c r="AB17" s="54"/>
      <c r="AC17" s="54"/>
      <c r="AD17" s="54"/>
      <c r="AE17" s="54"/>
      <c r="AF17" s="54"/>
      <c r="AG17" s="54"/>
      <c r="AH17" s="54"/>
      <c r="AI17" s="54"/>
    </row>
    <row r="18" spans="1:35" ht="15" x14ac:dyDescent="0.2">
      <c r="B18" s="165" t="s">
        <v>47</v>
      </c>
      <c r="C18" s="397"/>
      <c r="D18" s="398"/>
      <c r="E18" s="387"/>
      <c r="F18" s="388"/>
      <c r="G18" s="168" t="s">
        <v>26</v>
      </c>
      <c r="H18" s="118"/>
      <c r="I18" s="119"/>
      <c r="J18" s="55"/>
      <c r="M18" s="34"/>
      <c r="X18" s="42"/>
      <c r="Y18" s="54"/>
      <c r="Z18" s="54"/>
      <c r="AA18" s="54"/>
      <c r="AB18" s="54"/>
      <c r="AC18" s="54"/>
      <c r="AD18" s="54"/>
      <c r="AE18" s="54"/>
      <c r="AF18" s="54"/>
      <c r="AG18" s="54"/>
      <c r="AH18" s="54"/>
      <c r="AI18" s="54"/>
    </row>
    <row r="19" spans="1:35" ht="15.75" thickBot="1" x14ac:dyDescent="0.25">
      <c r="B19" s="166" t="s">
        <v>48</v>
      </c>
      <c r="C19" s="399"/>
      <c r="D19" s="400"/>
      <c r="E19" s="387"/>
      <c r="F19" s="388"/>
      <c r="G19" s="168" t="s">
        <v>28</v>
      </c>
      <c r="H19" s="118"/>
      <c r="I19" s="119"/>
      <c r="J19" s="55"/>
      <c r="M19" s="34"/>
      <c r="X19" s="42"/>
      <c r="Y19" s="54"/>
      <c r="Z19" s="54"/>
      <c r="AA19" s="54"/>
      <c r="AB19" s="54"/>
      <c r="AC19" s="54"/>
      <c r="AD19" s="54"/>
      <c r="AE19" s="54"/>
      <c r="AF19" s="54"/>
      <c r="AG19" s="54"/>
      <c r="AH19" s="54"/>
      <c r="AI19" s="54"/>
    </row>
    <row r="20" spans="1:35" ht="15.75" thickBot="1" x14ac:dyDescent="0.25">
      <c r="A20" s="54"/>
      <c r="B20" s="198" t="str">
        <f>IF(AND(($C$15)&gt;=1978,($C$15)&lt;=1992),"5.2",IF(($C$15)&lt;1978,"7.1",IF(($C$15)&gt;=1993,"4.6")))</f>
        <v>7.1</v>
      </c>
      <c r="C20" s="236">
        <f>($B$20*$C$16)/(3.819)</f>
        <v>0</v>
      </c>
      <c r="D20" s="237" t="str">
        <f>IF($C$19=1,21.5,IF($C$19=1.5,(21.5*0.89),IF($C$19=2,(21.5*0.81),IF($C$19=2.5,(21.5*0.76),IF($C$19=3,(21.5*0.72),"Enter # of Stories")))))</f>
        <v>Enter # of Stories</v>
      </c>
      <c r="E20" s="174"/>
      <c r="F20" s="223"/>
      <c r="G20" s="168" t="s">
        <v>31</v>
      </c>
      <c r="H20" s="118"/>
      <c r="I20" s="119"/>
      <c r="J20" s="55"/>
      <c r="M20" s="34"/>
      <c r="X20" s="42"/>
      <c r="Y20" s="54"/>
      <c r="Z20" s="54"/>
      <c r="AA20" s="54"/>
      <c r="AB20" s="54"/>
      <c r="AC20" s="54"/>
      <c r="AD20" s="54"/>
      <c r="AE20" s="54"/>
      <c r="AF20" s="54"/>
      <c r="AG20" s="54"/>
      <c r="AH20" s="54"/>
      <c r="AI20" s="54"/>
    </row>
    <row r="21" spans="1:35" ht="15" x14ac:dyDescent="0.2">
      <c r="B21" s="375" t="s">
        <v>1598</v>
      </c>
      <c r="C21" s="376"/>
      <c r="D21" s="377"/>
      <c r="E21" s="225"/>
      <c r="F21" s="223"/>
      <c r="G21" s="167" t="s">
        <v>49</v>
      </c>
      <c r="H21" s="116"/>
      <c r="I21" s="117"/>
      <c r="J21" s="55"/>
      <c r="M21" s="34"/>
      <c r="X21" s="42"/>
      <c r="Y21" s="54"/>
      <c r="Z21" s="54"/>
      <c r="AA21" s="54"/>
      <c r="AB21" s="54"/>
      <c r="AC21" s="54"/>
      <c r="AD21" s="54"/>
      <c r="AE21" s="54"/>
      <c r="AF21" s="54"/>
      <c r="AG21" s="54"/>
      <c r="AH21" s="54"/>
      <c r="AI21" s="54"/>
    </row>
    <row r="22" spans="1:35" ht="15" x14ac:dyDescent="0.2">
      <c r="B22" s="211" t="s">
        <v>50</v>
      </c>
      <c r="C22" s="371" t="s">
        <v>54</v>
      </c>
      <c r="D22" s="372"/>
      <c r="E22" s="17"/>
      <c r="F22" s="223"/>
      <c r="G22" s="168" t="s">
        <v>51</v>
      </c>
      <c r="H22" s="118" t="s">
        <v>40</v>
      </c>
      <c r="I22" s="119" t="s">
        <v>40</v>
      </c>
      <c r="J22" s="55"/>
      <c r="M22" s="34"/>
      <c r="X22" s="42"/>
      <c r="Y22" s="54"/>
      <c r="Z22" s="54"/>
      <c r="AA22" s="54"/>
      <c r="AB22" s="54"/>
      <c r="AC22" s="54"/>
      <c r="AD22" s="54"/>
      <c r="AE22" s="54"/>
      <c r="AF22" s="54"/>
      <c r="AG22" s="54"/>
      <c r="AH22" s="54"/>
      <c r="AI22" s="54"/>
    </row>
    <row r="23" spans="1:35" ht="15" x14ac:dyDescent="0.2">
      <c r="B23" s="213" t="str">
        <f>IF(ISBLANK($C$15),"Enter Year Built",IF(ISBLANK($C$16),"Enter Floor Area",(4.9*C16/3.819)*0.7))</f>
        <v>Enter Year Built</v>
      </c>
      <c r="C23" s="373" t="str">
        <f>IF(ISBLANK($D$25),"Enter Post CFM50",IF(ISBLANK($C$15),"Enter Year Build",IF(ISBLANK($C$16),"Enter Floor Area",(E23-D25)/E23)))</f>
        <v>Enter Post CFM50</v>
      </c>
      <c r="D23" s="374"/>
      <c r="E23" s="266">
        <f>(4.9*C16/3.819)</f>
        <v>0</v>
      </c>
      <c r="F23" s="265"/>
      <c r="G23" s="168" t="s">
        <v>26</v>
      </c>
      <c r="H23" s="118"/>
      <c r="I23" s="119"/>
      <c r="J23" s="55"/>
      <c r="M23" s="34"/>
      <c r="X23" s="42"/>
      <c r="Y23" s="54"/>
      <c r="Z23" s="54"/>
      <c r="AA23" s="54"/>
      <c r="AB23" s="54"/>
      <c r="AC23" s="54"/>
      <c r="AD23" s="54"/>
      <c r="AE23" s="54"/>
      <c r="AF23" s="54"/>
      <c r="AG23" s="54"/>
      <c r="AH23" s="54"/>
      <c r="AI23" s="54"/>
    </row>
    <row r="24" spans="1:35" ht="15" x14ac:dyDescent="0.2">
      <c r="B24" s="211" t="s">
        <v>52</v>
      </c>
      <c r="C24" s="205" t="s">
        <v>53</v>
      </c>
      <c r="D24" s="212" t="s">
        <v>1599</v>
      </c>
      <c r="E24" s="264"/>
      <c r="F24" s="223"/>
      <c r="G24" s="168" t="s">
        <v>28</v>
      </c>
      <c r="H24" s="118"/>
      <c r="I24" s="119"/>
      <c r="J24" s="55"/>
      <c r="M24" s="34"/>
      <c r="X24" s="42"/>
      <c r="Y24" s="54"/>
      <c r="Z24" s="54"/>
      <c r="AA24" s="54"/>
      <c r="AB24" s="54"/>
      <c r="AC24" s="54"/>
      <c r="AD24" s="54"/>
      <c r="AE24" s="54"/>
      <c r="AF24" s="54"/>
      <c r="AG24" s="54"/>
      <c r="AH24" s="54"/>
      <c r="AI24" s="54"/>
    </row>
    <row r="25" spans="1:35" ht="15" x14ac:dyDescent="0.2">
      <c r="B25" s="190" t="str">
        <f>IF(ISBLANK($C$16),"Enter Floor Area",IF(ISBLANK($D$25),"Enter Post CFM50",$D$25*3.819/$C$16))</f>
        <v>Enter Floor Area</v>
      </c>
      <c r="C25" s="189" t="str">
        <f>IF(ISBLANK($D$25),"Enter Post CFM50",IF(ISBLANK($C$17),"Enter Height",IF(ISBLANK($C$19),"Enter # of Stories", IF(ISBLANK($C$16),"Enter Floor Area", (($D$25*60)/(($C$16*$C$17)*$D$20))))))</f>
        <v>Enter Post CFM50</v>
      </c>
      <c r="D25" s="250"/>
      <c r="E25" s="240"/>
      <c r="F25" s="223"/>
      <c r="G25" s="168" t="s">
        <v>31</v>
      </c>
      <c r="H25" s="118"/>
      <c r="I25" s="119"/>
      <c r="J25" s="55"/>
      <c r="M25" s="34"/>
      <c r="Z25" s="54"/>
      <c r="AA25" s="54"/>
      <c r="AB25" s="54"/>
      <c r="AC25" s="54"/>
      <c r="AD25" s="54"/>
      <c r="AE25" s="54"/>
      <c r="AF25" s="54"/>
      <c r="AG25" s="54"/>
      <c r="AH25" s="54"/>
      <c r="AI25" s="54"/>
    </row>
    <row r="26" spans="1:35" ht="15.75" thickBot="1" x14ac:dyDescent="0.25">
      <c r="B26" s="378" t="s">
        <v>55</v>
      </c>
      <c r="C26" s="379"/>
      <c r="D26" s="380"/>
      <c r="E26" s="17"/>
      <c r="F26" s="223"/>
      <c r="G26" s="169" t="s">
        <v>56</v>
      </c>
      <c r="H26" s="120" t="str">
        <f>IF('Entry Sheet'!$H$4="","",Calculations!$C$18)</f>
        <v/>
      </c>
      <c r="I26" s="121" t="str">
        <f>IF('Entry Sheet'!$I$4="","",Calculations!$D$18)</f>
        <v/>
      </c>
      <c r="J26" s="55"/>
      <c r="M26" s="34"/>
      <c r="Z26" s="54"/>
      <c r="AA26" s="54"/>
      <c r="AB26" s="54"/>
      <c r="AC26" s="54"/>
      <c r="AD26" s="54"/>
      <c r="AE26" s="54"/>
      <c r="AF26" s="54"/>
      <c r="AG26" s="54"/>
      <c r="AH26" s="54"/>
      <c r="AI26" s="54"/>
    </row>
    <row r="27" spans="1:35" ht="15.75" thickBot="1" x14ac:dyDescent="0.25">
      <c r="B27" s="381" t="str">
        <f>IF(ISBLANK($D$25),"Enter Final Blower Door CFM50",IF(ISBLANK($C$16),"Enter Floor Area",IF(ISBLANK($C$15),"Enter Year Build",IF(OR($C$23&gt;29.95%,$C$23&gt;29.95%),"Meets Program Requirements","Additional Sealing Required"))))</f>
        <v>Enter Final Blower Door CFM50</v>
      </c>
      <c r="C27" s="382"/>
      <c r="D27" s="383"/>
      <c r="E27" s="17"/>
      <c r="F27" s="223"/>
      <c r="G27" s="187"/>
      <c r="H27" s="188"/>
      <c r="I27" s="188"/>
      <c r="J27" s="55"/>
      <c r="M27" s="34"/>
      <c r="Z27" s="54"/>
      <c r="AA27" s="54"/>
      <c r="AB27" s="54"/>
      <c r="AC27" s="54"/>
      <c r="AD27" s="54"/>
      <c r="AE27" s="54"/>
      <c r="AF27" s="54"/>
      <c r="AG27" s="54"/>
      <c r="AH27" s="54"/>
      <c r="AI27" s="54"/>
    </row>
    <row r="28" spans="1:35" ht="15.75" thickBot="1" x14ac:dyDescent="0.25">
      <c r="B28"/>
      <c r="C28"/>
      <c r="D28"/>
      <c r="E28" s="17"/>
      <c r="F28" s="223"/>
      <c r="G28" s="187"/>
      <c r="H28" s="188"/>
      <c r="I28" s="188"/>
      <c r="J28" s="55"/>
      <c r="M28" s="34"/>
      <c r="Z28" s="54"/>
      <c r="AA28" s="54"/>
      <c r="AB28" s="54"/>
      <c r="AC28" s="54"/>
      <c r="AD28" s="54"/>
      <c r="AE28" s="54"/>
      <c r="AF28" s="54"/>
      <c r="AG28" s="54"/>
      <c r="AH28" s="54"/>
      <c r="AI28" s="54"/>
    </row>
    <row r="29" spans="1:35" ht="15.75" thickBot="1" x14ac:dyDescent="0.25">
      <c r="B29" s="384" t="s">
        <v>1600</v>
      </c>
      <c r="C29" s="385"/>
      <c r="D29" s="386"/>
      <c r="E29" s="17"/>
      <c r="F29" s="223"/>
      <c r="G29" s="112"/>
      <c r="H29" s="112"/>
      <c r="I29" s="112"/>
      <c r="J29" s="55"/>
      <c r="M29" s="34"/>
      <c r="Z29" s="54"/>
      <c r="AA29" s="54"/>
      <c r="AB29" s="54"/>
      <c r="AC29" s="54"/>
      <c r="AD29" s="54"/>
      <c r="AE29" s="54"/>
      <c r="AF29" s="54"/>
      <c r="AG29" s="54"/>
      <c r="AH29" s="54"/>
      <c r="AI29" s="54"/>
    </row>
    <row r="30" spans="1:35" ht="15" x14ac:dyDescent="0.2">
      <c r="B30" s="215" t="s">
        <v>58</v>
      </c>
      <c r="C30" s="206" t="s">
        <v>1601</v>
      </c>
      <c r="D30" s="216" t="s">
        <v>1602</v>
      </c>
      <c r="E30" s="17"/>
      <c r="F30" s="223"/>
      <c r="G30" s="341" t="s">
        <v>57</v>
      </c>
      <c r="H30" s="342"/>
      <c r="I30" s="343"/>
      <c r="J30" s="55"/>
      <c r="M30" s="34"/>
      <c r="Z30" s="54"/>
      <c r="AA30" s="54"/>
      <c r="AB30" s="54"/>
      <c r="AC30" s="54"/>
      <c r="AD30" s="54"/>
      <c r="AE30" s="54"/>
      <c r="AF30" s="54"/>
      <c r="AG30" s="54"/>
      <c r="AH30" s="54"/>
      <c r="AI30" s="54"/>
    </row>
    <row r="31" spans="1:35" ht="15" x14ac:dyDescent="0.2">
      <c r="B31" s="156" t="s">
        <v>60</v>
      </c>
      <c r="C31" s="202"/>
      <c r="D31" s="239"/>
      <c r="E31" s="240"/>
      <c r="F31" s="223"/>
      <c r="G31" s="154" t="s">
        <v>59</v>
      </c>
      <c r="H31" s="116" t="s">
        <v>23</v>
      </c>
      <c r="I31" s="117" t="s">
        <v>24</v>
      </c>
      <c r="J31" s="55"/>
      <c r="M31" s="34"/>
      <c r="Z31" s="54"/>
      <c r="AA31" s="54"/>
      <c r="AB31" s="54"/>
      <c r="AC31" s="54"/>
      <c r="AD31" s="54"/>
      <c r="AE31" s="54"/>
      <c r="AF31" s="54"/>
      <c r="AG31" s="54"/>
      <c r="AH31" s="54"/>
      <c r="AI31" s="54"/>
    </row>
    <row r="32" spans="1:35" ht="15.75" thickBot="1" x14ac:dyDescent="0.25">
      <c r="B32" s="378" t="s">
        <v>55</v>
      </c>
      <c r="C32" s="379"/>
      <c r="D32" s="380"/>
      <c r="E32" s="230"/>
      <c r="F32" s="223"/>
      <c r="G32" s="153" t="s">
        <v>61</v>
      </c>
      <c r="H32" s="120">
        <f>Calculations!$C$18</f>
        <v>62.5</v>
      </c>
      <c r="I32" s="121">
        <f>Calculations!$D$18</f>
        <v>62.5</v>
      </c>
      <c r="J32" s="55"/>
      <c r="M32" s="34"/>
      <c r="Z32" s="54"/>
      <c r="AA32" s="54"/>
      <c r="AB32" s="54"/>
      <c r="AC32" s="54"/>
      <c r="AD32" s="54"/>
      <c r="AE32" s="54"/>
      <c r="AF32" s="54"/>
      <c r="AG32" s="54"/>
      <c r="AH32" s="54"/>
      <c r="AI32" s="54"/>
    </row>
    <row r="33" spans="2:35" ht="15.75" thickBot="1" x14ac:dyDescent="0.25">
      <c r="B33" s="389" t="str">
        <f>IF(ISBLANK($C$31),"Enter Pre CFM50",IF(ISBLANK($D$31),"Enter Post CFM50",IF(OR($E$33&gt;29.95%,$E$33&gt;29.95%),"Meets Program Requirements","Additional Sealing Required")))</f>
        <v>Enter Pre CFM50</v>
      </c>
      <c r="C33" s="390"/>
      <c r="D33" s="391"/>
      <c r="E33" s="238" t="e">
        <f>(C31-D31)/C31</f>
        <v>#DIV/0!</v>
      </c>
      <c r="F33" s="223"/>
      <c r="G33" s="172"/>
      <c r="H33" s="172"/>
      <c r="I33" s="172"/>
      <c r="J33" s="55"/>
      <c r="M33" s="34"/>
      <c r="Z33" s="54"/>
      <c r="AA33" s="54"/>
      <c r="AB33" s="54"/>
      <c r="AC33" s="54"/>
      <c r="AD33" s="54"/>
      <c r="AE33" s="54"/>
      <c r="AF33" s="54"/>
      <c r="AG33" s="54"/>
      <c r="AH33" s="54"/>
      <c r="AI33" s="54"/>
    </row>
    <row r="34" spans="2:35" ht="15.75" thickBot="1" x14ac:dyDescent="0.25">
      <c r="E34" s="174"/>
      <c r="F34" s="223"/>
      <c r="G34" s="341" t="s">
        <v>62</v>
      </c>
      <c r="H34" s="342"/>
      <c r="I34" s="343"/>
      <c r="J34" s="55"/>
      <c r="M34" s="34"/>
      <c r="Z34" s="54"/>
      <c r="AA34" s="54"/>
      <c r="AB34" s="54"/>
      <c r="AC34" s="54"/>
      <c r="AD34" s="54"/>
      <c r="AE34" s="54"/>
      <c r="AF34" s="54"/>
      <c r="AG34" s="54"/>
      <c r="AH34" s="54"/>
      <c r="AI34" s="54"/>
    </row>
    <row r="35" spans="2:35" ht="30.75" customHeight="1" x14ac:dyDescent="0.2">
      <c r="B35" s="350" t="s">
        <v>1615</v>
      </c>
      <c r="C35" s="351"/>
      <c r="D35" s="352"/>
      <c r="E35" s="226"/>
      <c r="F35" s="223"/>
      <c r="G35" s="154" t="s">
        <v>63</v>
      </c>
      <c r="H35" s="116" t="s">
        <v>23</v>
      </c>
      <c r="I35" s="117" t="s">
        <v>24</v>
      </c>
      <c r="J35" s="55"/>
      <c r="M35" s="34"/>
      <c r="Z35" s="42"/>
      <c r="AA35" s="42"/>
      <c r="AB35" s="42"/>
      <c r="AC35" s="42"/>
      <c r="AD35" s="42"/>
      <c r="AE35" s="42"/>
      <c r="AF35" s="42"/>
      <c r="AG35" s="42"/>
      <c r="AH35" s="42"/>
      <c r="AI35" s="42"/>
    </row>
    <row r="36" spans="2:35" ht="15.75" thickBot="1" x14ac:dyDescent="0.25">
      <c r="B36" s="152" t="s">
        <v>64</v>
      </c>
      <c r="C36" s="344"/>
      <c r="D36" s="345"/>
      <c r="E36" s="224"/>
      <c r="F36" s="223"/>
      <c r="G36" s="155">
        <v>30</v>
      </c>
      <c r="H36" s="120">
        <f>1/VLOOKUP(G36,'Appendix 1'!J5:K15,2,FALSE)*H32</f>
        <v>125</v>
      </c>
      <c r="I36" s="121">
        <f>1/VLOOKUP(G36,'Appendix 1'!J5:K15,2,FALSE)*I32</f>
        <v>125</v>
      </c>
      <c r="J36" s="55"/>
      <c r="M36" s="34"/>
      <c r="Z36" s="42"/>
      <c r="AA36" s="42"/>
      <c r="AB36" s="42"/>
      <c r="AC36" s="42"/>
      <c r="AD36" s="42"/>
      <c r="AE36" s="42"/>
      <c r="AF36" s="42"/>
      <c r="AG36" s="42"/>
      <c r="AH36" s="42"/>
      <c r="AI36" s="42"/>
    </row>
    <row r="37" spans="2:35" ht="15.75" thickBot="1" x14ac:dyDescent="0.25">
      <c r="B37" s="152" t="s">
        <v>65</v>
      </c>
      <c r="C37" s="344"/>
      <c r="D37" s="345"/>
      <c r="E37" s="224"/>
      <c r="F37" s="223"/>
      <c r="G37" s="172"/>
      <c r="H37" s="172"/>
      <c r="I37" s="172"/>
      <c r="J37" s="55"/>
      <c r="M37" s="34"/>
      <c r="Z37" s="42"/>
      <c r="AA37" s="42"/>
      <c r="AB37" s="42"/>
      <c r="AC37" s="42"/>
      <c r="AD37" s="42"/>
      <c r="AE37" s="42"/>
      <c r="AF37" s="42"/>
      <c r="AG37" s="42"/>
      <c r="AH37" s="42"/>
      <c r="AI37" s="42"/>
    </row>
    <row r="38" spans="2:35" ht="15" x14ac:dyDescent="0.2">
      <c r="B38" s="157" t="s">
        <v>66</v>
      </c>
      <c r="C38" s="344"/>
      <c r="D38" s="345"/>
      <c r="E38" s="224"/>
      <c r="F38" s="223"/>
      <c r="G38" s="408" t="s">
        <v>67</v>
      </c>
      <c r="H38" s="409"/>
      <c r="I38" s="410"/>
      <c r="J38" s="55"/>
      <c r="M38" s="34"/>
      <c r="Z38" s="54"/>
      <c r="AA38" s="54"/>
      <c r="AB38" s="54"/>
    </row>
    <row r="39" spans="2:35" ht="15.75" thickBot="1" x14ac:dyDescent="0.25">
      <c r="B39" s="157" t="s">
        <v>68</v>
      </c>
      <c r="C39" s="344"/>
      <c r="D39" s="345"/>
      <c r="E39" s="226"/>
      <c r="F39" s="223"/>
      <c r="G39" s="411" t="s">
        <v>69</v>
      </c>
      <c r="H39" s="412"/>
      <c r="I39" s="413"/>
      <c r="J39" s="55"/>
      <c r="M39" s="34"/>
    </row>
    <row r="40" spans="2:35" ht="15" x14ac:dyDescent="0.2">
      <c r="B40" s="162" t="s">
        <v>70</v>
      </c>
      <c r="C40" s="346" t="str">
        <f>IF(AND($C$37="Nominal Heating",ISBLANK($C$39)),"Enter Furnace Output",IF(AND($C$37="Nominal Cooling",ISBLANK($C$38)),"Enter Cooling Load",IF(ISBLANK($C$36),"Enter CFM25 Result",IF(ISBLANK($C$37),"Enter Nominal Heating or Cooling?",IF($C$37="none","Enter Nominal Heating or Cooling?",IF($C$37="Nominal Cooling",$C$36/(400*$C$38),IF($C$37="Nominal Heating",$C$36/(21.7*$C$39))))))))</f>
        <v>Enter CFM25 Result</v>
      </c>
      <c r="D40" s="347"/>
      <c r="E40" s="227"/>
      <c r="F40" s="228"/>
    </row>
    <row r="41" spans="2:35" ht="15" hidden="1" x14ac:dyDescent="0.2">
      <c r="B41" s="161" t="s">
        <v>71</v>
      </c>
      <c r="C41" s="346" t="str">
        <f>IF(C52="Meets program requirements","Meets program requirements",IF(C52="additional sealing required","additional sealing required",IF(AND($C$37="Nominal Heating",ISBLANK($C$39)),"Enter Furnace Output",IF(AND($C$37="Nominal Cooling",ISBLANK($C$38)),"Enter Cooling Load",IF(ISBLANK($C$36),"Enter CFM25 Result",IF(ISBLANK($C$37),"Enter Nominal Heating or Cooling?",IF($C$37="none","Enter Nominal Heating or Cooling?",IF($C$40&lt;=10%,"Meets program requirements","Additional sealing required"))))))))</f>
        <v>Enter CFM25 Result</v>
      </c>
      <c r="D41" s="347"/>
      <c r="E41" s="223"/>
      <c r="F41" s="228"/>
    </row>
    <row r="42" spans="2:35" ht="15" x14ac:dyDescent="0.2">
      <c r="B42" s="268" t="s">
        <v>1614</v>
      </c>
      <c r="C42" s="348" t="str">
        <f>IF(C53="additional sealing required","additional sealing required",IF(C53="Meets program requirements","Meets program requirements",IF(AND($C$37="Nominal Heating",ISBLANK($C$39)),"Enter Furnace Output",IF(AND($C$37="Nominal Cooling",ISBLANK($C$38)),"Enter Cooling Load",IF(ISBLANK($C$36),"Enter CFM25 Result",IF(ISBLANK($C$37),"Enter Nominal Heating or Cooling?",IF($C$37="none","Enter Nominal Heating or Cooling?",IF($C$40&lt;=10%,"Meets program requirements","Additional sealing required"))))))))</f>
        <v>Enter CFM25 Result</v>
      </c>
      <c r="D42" s="349"/>
      <c r="E42" s="223"/>
      <c r="F42" s="228"/>
    </row>
    <row r="43" spans="2:35" ht="15.75" thickBot="1" x14ac:dyDescent="0.25">
      <c r="B43" s="267" t="s">
        <v>1609</v>
      </c>
      <c r="C43" s="356" t="str">
        <f>IF(C55="additional sealing required","additional sealing required",IF(C55="Meets program requirements","Meets program requirements",IF(AND($C$37="Nominal Heating",ISBLANK($C$39)),"Enter Furnace Output",IF(AND($C$37="Nominal Cooling",ISBLANK($C$38)),"Enter Cooling Load",IF(ISBLANK($C$36),"Enter CFM25 Result",IF(ISBLANK($C$37),"Enter Nominal Heating or Cooling?",IF($C$37="none","Enter Nominal Heating or Cooling?",IF($C$40&lt;=5%,"Meets program requirements","Additional sealing required"))))))))</f>
        <v>Enter CFM25 Result</v>
      </c>
      <c r="D43" s="357"/>
      <c r="E43" s="223"/>
      <c r="F43" s="228"/>
      <c r="L43" s="9"/>
    </row>
    <row r="44" spans="2:35" ht="15.75" thickBot="1" x14ac:dyDescent="0.25">
      <c r="E44" s="223"/>
      <c r="F44" s="228"/>
    </row>
    <row r="45" spans="2:35" ht="15" x14ac:dyDescent="0.2">
      <c r="B45" s="353" t="s">
        <v>72</v>
      </c>
      <c r="C45" s="354"/>
      <c r="D45" s="355"/>
      <c r="E45" s="223"/>
      <c r="F45" s="228"/>
      <c r="N45" s="54"/>
    </row>
    <row r="46" spans="2:35" ht="15" x14ac:dyDescent="0.2">
      <c r="B46" s="157" t="s">
        <v>64</v>
      </c>
      <c r="C46" s="344"/>
      <c r="D46" s="345"/>
      <c r="E46" s="223"/>
      <c r="F46" s="228"/>
      <c r="N46" s="54"/>
    </row>
    <row r="47" spans="2:35" ht="15" x14ac:dyDescent="0.2">
      <c r="B47" s="157" t="s">
        <v>65</v>
      </c>
      <c r="C47" s="344"/>
      <c r="D47" s="345"/>
      <c r="E47" s="223"/>
      <c r="F47" s="228"/>
      <c r="M47" s="54"/>
      <c r="N47" s="54"/>
      <c r="O47" s="59"/>
      <c r="P47" s="59"/>
      <c r="Q47" s="59"/>
      <c r="R47" s="61"/>
      <c r="S47" s="59"/>
      <c r="T47" s="59"/>
      <c r="U47" s="59"/>
      <c r="V47" s="59"/>
      <c r="W47" s="42"/>
      <c r="X47" s="42"/>
      <c r="Y47" s="42"/>
    </row>
    <row r="48" spans="2:35" ht="15" x14ac:dyDescent="0.2">
      <c r="B48" s="157" t="s">
        <v>66</v>
      </c>
      <c r="C48" s="344"/>
      <c r="D48" s="345"/>
      <c r="E48" s="228"/>
      <c r="F48" s="228"/>
      <c r="M48" s="54"/>
      <c r="N48" s="54"/>
      <c r="O48" s="54"/>
      <c r="P48" s="54"/>
      <c r="Q48" s="54"/>
      <c r="R48" s="54"/>
      <c r="S48" s="54"/>
      <c r="T48" s="59"/>
      <c r="U48" s="59"/>
      <c r="V48" s="59"/>
      <c r="W48" s="59"/>
      <c r="X48" s="42"/>
      <c r="Y48" s="42"/>
      <c r="Z48" s="42"/>
    </row>
    <row r="49" spans="2:26" ht="15" x14ac:dyDescent="0.2">
      <c r="B49" s="157" t="s">
        <v>68</v>
      </c>
      <c r="C49" s="344"/>
      <c r="D49" s="345"/>
      <c r="E49" s="223"/>
      <c r="F49" s="228"/>
      <c r="M49" s="54"/>
      <c r="N49" s="54"/>
      <c r="O49" s="54"/>
      <c r="P49" s="54"/>
      <c r="Q49" s="54"/>
      <c r="R49" s="54"/>
      <c r="S49" s="59"/>
      <c r="T49" s="59"/>
      <c r="U49" s="59"/>
      <c r="V49" s="59"/>
      <c r="W49" s="42"/>
      <c r="X49" s="42"/>
      <c r="Y49" s="42"/>
    </row>
    <row r="50" spans="2:26" ht="15" x14ac:dyDescent="0.2">
      <c r="B50" s="162" t="s">
        <v>70</v>
      </c>
      <c r="C50" s="346" t="str">
        <f>IF(AND($C$47="Nominal Heating",ISBLANK($C$49)),"Enter Furnace Output",IF(AND($C$47="Nominal Cooling",ISBLANK($C$48)),"Enter Cooling Load",IF(ISBLANK($C$46),"Enter 2nd CFM25 Result",IF(ISBLANK($C$47),"Enter Nominal Heating or Cooling?",IF($C$47="none","Enter Nominal Heating or Cooling?",IF($C$47="Nominal Cooling",$C$46/(400*$C$48),IF($C$47="Nominal Heating",$C$46/(21.7*$C$49))))))))</f>
        <v>Enter 2nd CFM25 Result</v>
      </c>
      <c r="D50" s="347"/>
      <c r="E50" s="229"/>
      <c r="F50" s="228"/>
      <c r="N50" s="54"/>
      <c r="O50" s="54"/>
      <c r="P50" s="54"/>
      <c r="Q50" s="54"/>
      <c r="R50" s="54"/>
      <c r="S50" s="59"/>
      <c r="T50" s="59"/>
      <c r="U50" s="59"/>
      <c r="V50" s="59"/>
      <c r="W50" s="42"/>
      <c r="X50" s="42"/>
      <c r="Y50" s="42"/>
    </row>
    <row r="51" spans="2:26" ht="15" x14ac:dyDescent="0.2">
      <c r="B51" s="162" t="s">
        <v>73</v>
      </c>
      <c r="C51" s="346" t="str">
        <f>IF(AND($C$47="Nominal Heating",ISBLANK($C$49)),"Enter 2nd Furnace Output",IF(AND($C$47="Nominal Cooling",ISBLANK($C$48)),"Enter 2nd Cooling Load",IF(ISBLANK($C$46),"Enter 2nd CFM25 Result",IF(ISBLANK($C$37),"Enter Sys 1 Nom Heating or Cooling?",IF($C$47="Nominal Cooling",'Table 3'!$G$14,IF($C$47="Nominal Heating",'Table 3'!$E$14))))))</f>
        <v>Enter 2nd CFM25 Result</v>
      </c>
      <c r="D51" s="347"/>
      <c r="E51" s="17"/>
      <c r="F51" s="228"/>
      <c r="M51" s="54"/>
      <c r="N51" s="54"/>
      <c r="O51" s="54"/>
      <c r="P51" s="54"/>
      <c r="Q51" s="54"/>
      <c r="R51" s="54"/>
      <c r="S51" s="54"/>
      <c r="T51" s="59"/>
      <c r="U51" s="59"/>
      <c r="V51" s="59"/>
      <c r="W51" s="59"/>
      <c r="X51" s="42"/>
      <c r="Y51" s="42"/>
      <c r="Z51" s="42"/>
    </row>
    <row r="52" spans="2:26" ht="15" hidden="1" x14ac:dyDescent="0.2">
      <c r="B52" s="161" t="s">
        <v>71</v>
      </c>
      <c r="C52" s="346" t="str">
        <f>IF(AND($C$47="Nominal Heating",ISBLANK($C$49)),"Enter Furnace Output",IF(AND($C$47="Nominal Cooling",ISBLANK($C$48)),"Enter Cooling Load",IF(ISBLANK($C$46),"Enter 2nd CFM25 Result",IF(ISBLANK($C$47),"Enter Nominal Heating or Cooling?",IF($C$47="none","Enter Nominal Heating or Cooling?",IF($C$51&lt;=10%,"Meets program requirements","Additional sealing required"))))))</f>
        <v>Enter 2nd CFM25 Result</v>
      </c>
      <c r="D52" s="347"/>
      <c r="E52" s="17"/>
      <c r="F52" s="158"/>
      <c r="G52" s="159"/>
      <c r="H52" s="159"/>
      <c r="M52" s="54"/>
      <c r="N52" s="54"/>
      <c r="O52" s="54"/>
      <c r="P52" s="54"/>
      <c r="Q52" s="59"/>
      <c r="R52" s="59"/>
      <c r="S52" s="59"/>
      <c r="T52" s="59"/>
      <c r="U52" s="59"/>
      <c r="V52" s="59"/>
      <c r="W52" s="59"/>
      <c r="X52" s="42"/>
      <c r="Y52" s="42"/>
      <c r="Z52" s="42"/>
    </row>
    <row r="53" spans="2:26" ht="15" x14ac:dyDescent="0.2">
      <c r="B53" s="268" t="s">
        <v>1614</v>
      </c>
      <c r="C53" s="346" t="str">
        <f>IF(AND($C$47="Nominal Heating",ISBLANK($C$49)),"Enter Furnace Output",IF(AND($C$47="Nominal Cooling",ISBLANK($C$48)),"Enter Cooling Load",IF(ISBLANK($C$46),"Enter 2nd CFM25 Result",IF(ISBLANK($C$47),"Enter Nominal Heating or Cooling?",IF($C$47="none","Enter Nominal Heating or Cooling?",IF(AND(C40&lt;=10%,C50&lt;=10%),"Meets program requirements!","Additional sealing required"))))))</f>
        <v>Enter 2nd CFM25 Result</v>
      </c>
      <c r="D53" s="347"/>
      <c r="E53" s="17"/>
      <c r="F53" s="174"/>
      <c r="G53" s="54"/>
      <c r="H53" s="54"/>
      <c r="I53" s="54"/>
      <c r="J53" s="54"/>
      <c r="K53" s="54"/>
      <c r="M53" s="54"/>
      <c r="N53" s="54"/>
      <c r="O53" s="54"/>
      <c r="P53" s="54"/>
      <c r="Q53" s="59"/>
      <c r="R53" s="59"/>
      <c r="S53" s="59"/>
      <c r="T53" s="59"/>
      <c r="U53" s="59"/>
      <c r="V53" s="59"/>
      <c r="W53" s="59"/>
      <c r="X53" s="42"/>
      <c r="Y53" s="42"/>
      <c r="Z53" s="42"/>
    </row>
    <row r="54" spans="2:26" ht="15.75" thickBot="1" x14ac:dyDescent="0.25">
      <c r="B54" s="267" t="s">
        <v>1609</v>
      </c>
      <c r="C54" s="356" t="str">
        <f>IF(AND($C$47="Nominal Heating",ISBLANK($C$49)),"Enter Furnace Output",IF(AND($C$47="Nominal Cooling",ISBLANK($C$48)),"Enter Cooling Load",IF(ISBLANK($C$46),"Enter 2nd CFM25 Result",IF(ISBLANK($C$47),"Enter Nominal Heating or Cooling?",IF($C$47="none","Enter Nominal Heating or Cooling?",IF(AND(C40&lt;=5%,C50&lt;=5%),"Meets program requirements!","Additional sealing required"))))))</f>
        <v>Enter 2nd CFM25 Result</v>
      </c>
      <c r="D54" s="357"/>
      <c r="E54" s="17"/>
      <c r="F54" s="174"/>
      <c r="G54" s="54"/>
      <c r="H54" s="54"/>
      <c r="I54" s="54"/>
      <c r="J54" s="54"/>
      <c r="K54" s="54"/>
      <c r="L54" s="9"/>
      <c r="M54" s="54"/>
      <c r="N54" s="54"/>
      <c r="O54" s="54"/>
      <c r="P54" s="54"/>
      <c r="Q54" s="59"/>
      <c r="R54" s="59"/>
      <c r="S54" s="59"/>
      <c r="T54" s="59"/>
      <c r="U54" s="59"/>
      <c r="V54" s="59"/>
      <c r="W54" s="59"/>
      <c r="X54" s="42"/>
      <c r="Y54" s="42"/>
      <c r="Z54" s="42"/>
    </row>
    <row r="55" spans="2:26" ht="14.25" customHeight="1" x14ac:dyDescent="0.2">
      <c r="E55" s="9"/>
      <c r="F55" s="158"/>
      <c r="G55" s="158"/>
      <c r="H55" s="159"/>
      <c r="I55" s="159"/>
      <c r="M55" s="54"/>
      <c r="N55" s="54"/>
      <c r="O55" s="54"/>
      <c r="P55" s="54"/>
      <c r="Q55" s="59"/>
      <c r="R55" s="59"/>
      <c r="S55" s="59"/>
      <c r="T55" s="59"/>
      <c r="U55" s="59"/>
      <c r="V55" s="59"/>
      <c r="W55" s="59"/>
      <c r="X55" s="42"/>
      <c r="Y55" s="42"/>
      <c r="Z55" s="42"/>
    </row>
    <row r="56" spans="2:26" ht="15.75" thickBot="1" x14ac:dyDescent="0.25">
      <c r="B56" s="358" t="s">
        <v>74</v>
      </c>
      <c r="C56" s="358"/>
      <c r="D56" s="358"/>
      <c r="E56" s="358"/>
      <c r="F56" s="358"/>
      <c r="G56" s="358" t="s">
        <v>75</v>
      </c>
      <c r="H56" s="358"/>
      <c r="I56" s="358"/>
      <c r="J56" s="358"/>
      <c r="K56" s="358"/>
      <c r="M56" s="54"/>
      <c r="N56" s="54"/>
      <c r="O56" s="54"/>
      <c r="P56" s="54"/>
      <c r="Q56" s="59"/>
      <c r="R56" s="59"/>
      <c r="S56" s="59"/>
      <c r="T56" s="59"/>
      <c r="U56" s="59"/>
      <c r="V56" s="59"/>
      <c r="W56" s="59"/>
      <c r="X56" s="42"/>
      <c r="Y56" s="42"/>
      <c r="Z56" s="42"/>
    </row>
    <row r="57" spans="2:26" ht="28.5" customHeight="1" x14ac:dyDescent="0.2">
      <c r="B57" s="298"/>
      <c r="C57" s="299"/>
      <c r="D57" s="299"/>
      <c r="E57" s="300"/>
      <c r="F57" s="299"/>
      <c r="G57" s="299"/>
      <c r="H57" s="299"/>
      <c r="I57" s="299"/>
      <c r="J57" s="299"/>
      <c r="K57" s="300"/>
      <c r="M57" s="54"/>
      <c r="N57" s="54"/>
      <c r="O57" s="54"/>
      <c r="P57" s="54"/>
      <c r="Q57" s="59"/>
      <c r="R57" s="59"/>
      <c r="S57" s="59"/>
      <c r="T57" s="59"/>
      <c r="U57" s="59"/>
      <c r="V57" s="59"/>
      <c r="W57" s="59"/>
      <c r="X57" s="42"/>
      <c r="Y57" s="42"/>
      <c r="Z57" s="42"/>
    </row>
    <row r="58" spans="2:26" x14ac:dyDescent="0.2">
      <c r="B58" s="301"/>
      <c r="C58" s="302"/>
      <c r="D58" s="302"/>
      <c r="E58" s="303"/>
      <c r="F58" s="302"/>
      <c r="G58" s="302"/>
      <c r="H58" s="302"/>
      <c r="I58" s="302"/>
      <c r="J58" s="302"/>
      <c r="K58" s="303"/>
      <c r="M58" s="54"/>
      <c r="N58" s="54"/>
      <c r="O58" s="54"/>
      <c r="P58" s="54"/>
      <c r="Q58" s="59"/>
      <c r="R58" s="59"/>
      <c r="S58" s="59"/>
      <c r="T58" s="59"/>
      <c r="U58" s="59"/>
      <c r="V58" s="59"/>
      <c r="W58" s="59"/>
      <c r="X58" s="42"/>
      <c r="Y58" s="42"/>
      <c r="Z58" s="42"/>
    </row>
    <row r="59" spans="2:26" x14ac:dyDescent="0.2">
      <c r="B59" s="301"/>
      <c r="C59" s="302"/>
      <c r="D59" s="302"/>
      <c r="E59" s="303"/>
      <c r="F59" s="302"/>
      <c r="G59" s="302"/>
      <c r="H59" s="302"/>
      <c r="I59" s="302"/>
      <c r="J59" s="302"/>
      <c r="K59" s="303"/>
      <c r="M59" s="54"/>
      <c r="N59" s="54"/>
      <c r="O59" s="54"/>
      <c r="P59" s="54"/>
      <c r="Q59" s="59"/>
      <c r="R59" s="54"/>
      <c r="S59" s="54"/>
      <c r="T59" s="54"/>
      <c r="U59" s="54"/>
      <c r="V59" s="54"/>
      <c r="W59" s="59"/>
      <c r="X59" s="42"/>
      <c r="Y59" s="42"/>
      <c r="Z59" s="42"/>
    </row>
    <row r="60" spans="2:26" x14ac:dyDescent="0.2">
      <c r="B60" s="301"/>
      <c r="C60" s="302"/>
      <c r="D60" s="302"/>
      <c r="E60" s="303"/>
      <c r="F60" s="302"/>
      <c r="G60" s="302"/>
      <c r="H60" s="302"/>
      <c r="I60" s="302"/>
      <c r="J60" s="302"/>
      <c r="K60" s="303"/>
      <c r="M60" s="54"/>
      <c r="N60" s="54"/>
      <c r="O60" s="54"/>
      <c r="P60" s="54"/>
      <c r="R60" s="54"/>
      <c r="S60" s="54"/>
      <c r="T60" s="54"/>
      <c r="U60" s="54"/>
      <c r="V60" s="42"/>
    </row>
    <row r="61" spans="2:26" x14ac:dyDescent="0.2">
      <c r="B61" s="301"/>
      <c r="C61" s="302"/>
      <c r="D61" s="302"/>
      <c r="E61" s="303"/>
      <c r="F61" s="302"/>
      <c r="G61" s="302"/>
      <c r="H61" s="302"/>
      <c r="I61" s="302"/>
      <c r="J61" s="302"/>
      <c r="K61" s="303"/>
      <c r="M61" s="54"/>
      <c r="N61" s="54"/>
      <c r="O61" s="54"/>
      <c r="P61" s="54"/>
      <c r="R61" s="54"/>
      <c r="S61" s="54"/>
      <c r="T61" s="54"/>
      <c r="U61" s="54"/>
      <c r="V61" s="42"/>
    </row>
    <row r="62" spans="2:26" ht="14.25" customHeight="1" thickBot="1" x14ac:dyDescent="0.25">
      <c r="B62" s="304"/>
      <c r="C62" s="305"/>
      <c r="D62" s="305"/>
      <c r="E62" s="306"/>
      <c r="F62" s="305"/>
      <c r="G62" s="305"/>
      <c r="H62" s="305"/>
      <c r="I62" s="305"/>
      <c r="J62" s="305"/>
      <c r="K62" s="306"/>
      <c r="M62" s="54"/>
      <c r="N62" s="54"/>
      <c r="O62" s="54"/>
      <c r="P62" s="54"/>
      <c r="R62" s="54"/>
      <c r="S62" s="54"/>
      <c r="T62" s="54"/>
      <c r="U62" s="54"/>
      <c r="V62" s="42"/>
    </row>
    <row r="63" spans="2:26" ht="14.25" customHeight="1" x14ac:dyDescent="0.2">
      <c r="B63" s="62"/>
      <c r="C63" s="62"/>
      <c r="D63" s="62"/>
      <c r="E63" s="62"/>
      <c r="F63" s="62"/>
      <c r="G63" s="62"/>
      <c r="H63" s="62"/>
      <c r="I63" s="62"/>
      <c r="J63" s="62"/>
      <c r="K63" s="62"/>
      <c r="M63" s="54"/>
      <c r="N63" s="54"/>
      <c r="O63" s="54"/>
      <c r="P63" s="54"/>
      <c r="R63" s="54"/>
      <c r="S63" s="54"/>
      <c r="T63" s="54"/>
      <c r="U63" s="54"/>
      <c r="V63" s="42"/>
    </row>
    <row r="64" spans="2:26" ht="18.75" thickBot="1" x14ac:dyDescent="0.25">
      <c r="B64" s="418" t="s">
        <v>7</v>
      </c>
      <c r="C64" s="418"/>
      <c r="D64" s="62"/>
      <c r="E64" s="62"/>
      <c r="F64" s="62"/>
      <c r="G64" s="62"/>
      <c r="H64" s="62"/>
      <c r="I64" s="62"/>
      <c r="J64" s="62"/>
      <c r="K64" s="62"/>
      <c r="M64" s="54"/>
      <c r="N64" s="54"/>
      <c r="O64" s="54"/>
      <c r="P64" s="54"/>
      <c r="R64" s="54"/>
      <c r="S64" s="54"/>
      <c r="T64" s="54"/>
      <c r="U64" s="54"/>
      <c r="V64" s="42"/>
    </row>
    <row r="65" spans="1:25" ht="79.5" customHeight="1" thickBot="1" x14ac:dyDescent="0.25">
      <c r="B65" s="423" t="s">
        <v>76</v>
      </c>
      <c r="C65" s="424"/>
      <c r="D65" s="424"/>
      <c r="E65" s="424"/>
      <c r="F65" s="424"/>
      <c r="G65" s="424"/>
      <c r="H65" s="424"/>
      <c r="I65" s="424"/>
      <c r="J65" s="424"/>
      <c r="K65" s="425"/>
      <c r="M65" s="54"/>
      <c r="N65" s="54"/>
      <c r="O65" s="54"/>
      <c r="P65" s="54"/>
      <c r="R65" s="54"/>
      <c r="S65" s="54"/>
      <c r="T65" s="54"/>
      <c r="U65" s="54"/>
      <c r="V65" s="42"/>
    </row>
    <row r="66" spans="1:25" ht="21.75" customHeight="1" thickBot="1" x14ac:dyDescent="0.25">
      <c r="B66" s="269"/>
      <c r="C66" s="269"/>
      <c r="D66" s="269"/>
      <c r="E66" s="269"/>
      <c r="F66" s="269"/>
      <c r="G66" s="269"/>
      <c r="H66" s="269"/>
      <c r="I66" s="269"/>
      <c r="J66" s="269"/>
      <c r="K66" s="269"/>
      <c r="L66" s="9"/>
      <c r="M66" s="54"/>
      <c r="N66" s="54"/>
      <c r="O66" s="54"/>
      <c r="P66" s="54"/>
      <c r="R66" s="54"/>
      <c r="S66" s="54"/>
      <c r="T66" s="54"/>
      <c r="U66" s="54"/>
      <c r="V66" s="42"/>
    </row>
    <row r="67" spans="1:25" ht="21.75" customHeight="1" thickBot="1" x14ac:dyDescent="0.25">
      <c r="B67" s="275" t="s">
        <v>1623</v>
      </c>
      <c r="C67" s="269"/>
      <c r="D67" s="416" t="s">
        <v>1624</v>
      </c>
      <c r="E67" s="417"/>
      <c r="F67" s="269"/>
      <c r="G67" s="416" t="s">
        <v>1627</v>
      </c>
      <c r="H67" s="417"/>
      <c r="I67" s="269"/>
      <c r="J67" s="269"/>
      <c r="K67" s="269"/>
      <c r="L67" s="9"/>
      <c r="M67" s="54"/>
      <c r="N67" s="54"/>
      <c r="O67" s="54"/>
      <c r="P67" s="54"/>
      <c r="R67" s="54"/>
      <c r="S67" s="54"/>
      <c r="T67" s="54"/>
      <c r="U67" s="54"/>
      <c r="V67" s="42"/>
    </row>
    <row r="68" spans="1:25" ht="51.75" thickBot="1" x14ac:dyDescent="0.25">
      <c r="A68" s="57"/>
      <c r="B68" s="280" t="s">
        <v>1626</v>
      </c>
      <c r="C68" s="279" t="b">
        <v>0</v>
      </c>
      <c r="D68" s="421" t="s">
        <v>1625</v>
      </c>
      <c r="E68" s="422"/>
      <c r="F68" s="276" t="b">
        <v>0</v>
      </c>
      <c r="G68" s="421" t="s">
        <v>1628</v>
      </c>
      <c r="H68" s="422"/>
      <c r="I68" s="276" t="b">
        <v>0</v>
      </c>
      <c r="J68" s="269"/>
      <c r="K68" s="269"/>
      <c r="L68" s="9"/>
      <c r="M68" s="54"/>
      <c r="N68" s="54"/>
      <c r="O68" s="54"/>
      <c r="P68" s="54"/>
      <c r="R68" s="54"/>
      <c r="S68" s="54"/>
      <c r="T68" s="54"/>
      <c r="U68" s="54"/>
      <c r="V68" s="42"/>
    </row>
    <row r="69" spans="1:25" s="270" customFormat="1" ht="20.25" customHeight="1" thickBot="1" x14ac:dyDescent="0.25">
      <c r="B69" s="271"/>
      <c r="C69" s="272"/>
      <c r="D69" s="272"/>
      <c r="E69" s="272"/>
      <c r="F69" s="272"/>
      <c r="G69" s="272"/>
      <c r="H69" s="272"/>
      <c r="I69" s="272"/>
      <c r="J69" s="272"/>
      <c r="K69" s="272"/>
      <c r="L69" s="6"/>
      <c r="M69" s="273"/>
      <c r="N69" s="273"/>
      <c r="O69" s="273"/>
      <c r="P69" s="273"/>
      <c r="R69" s="273"/>
      <c r="S69" s="273"/>
      <c r="T69" s="273"/>
      <c r="U69" s="273"/>
      <c r="V69" s="274"/>
    </row>
    <row r="70" spans="1:25" x14ac:dyDescent="0.2">
      <c r="B70" s="419" t="s">
        <v>77</v>
      </c>
      <c r="C70" s="414" t="s">
        <v>78</v>
      </c>
      <c r="D70" s="414" t="s">
        <v>79</v>
      </c>
      <c r="E70" s="414" t="s">
        <v>80</v>
      </c>
      <c r="F70" s="414" t="s">
        <v>81</v>
      </c>
      <c r="G70" s="414" t="s">
        <v>82</v>
      </c>
      <c r="H70" s="414" t="s">
        <v>83</v>
      </c>
      <c r="I70" s="414" t="s">
        <v>84</v>
      </c>
      <c r="J70" s="414" t="s">
        <v>85</v>
      </c>
      <c r="K70" s="428" t="s">
        <v>86</v>
      </c>
      <c r="M70" s="54"/>
      <c r="N70" s="54"/>
      <c r="O70" s="54"/>
      <c r="Q70" s="54"/>
      <c r="R70" s="54"/>
      <c r="S70" s="54"/>
      <c r="T70" s="54"/>
      <c r="U70" s="42"/>
    </row>
    <row r="71" spans="1:25" ht="15" thickBot="1" x14ac:dyDescent="0.25">
      <c r="B71" s="420"/>
      <c r="C71" s="415"/>
      <c r="D71" s="415"/>
      <c r="E71" s="415"/>
      <c r="F71" s="415"/>
      <c r="G71" s="415"/>
      <c r="H71" s="415"/>
      <c r="I71" s="415"/>
      <c r="J71" s="415"/>
      <c r="K71" s="429"/>
      <c r="M71" s="54"/>
      <c r="N71" s="54"/>
      <c r="O71" s="54"/>
      <c r="Q71" s="54"/>
      <c r="R71" s="54"/>
      <c r="S71" s="54"/>
      <c r="T71" s="54"/>
      <c r="U71" s="42"/>
    </row>
    <row r="72" spans="1:25" ht="21.95" customHeight="1" x14ac:dyDescent="0.2">
      <c r="B72" s="338"/>
      <c r="C72" s="340"/>
      <c r="D72" s="340"/>
      <c r="E72" s="340"/>
      <c r="F72" s="311"/>
      <c r="G72" s="291"/>
      <c r="H72" s="294"/>
      <c r="I72" s="294"/>
      <c r="J72" s="296"/>
      <c r="K72" s="426" t="str">
        <f>IF(OR(B72="select one",ISBLANK(B72)),"Input "&amp;B70,IF(OR(C72="select one",ISBLANK(C72)),"Input "&amp;C70,IF(OR(D72="select one",ISBLANK(D72)),"Input "&amp;D70,IF(OR(E72="select one",ISBLANK(E72)),"Input "&amp;E70,IF(OR(F72="select one",ISBLANK(F72)),"Input "&amp;F70,IF(F72="Non-Op","System is non operational. Testing not applicable.",IF(AND(E72="Mechanically Assisted",F72="NA",H72="NA"),"Mechanically Assisted Unit; Testing not applicable.",IF(AND(E72="Direct Vent",F72="NA",H72="NA"),"Direct Vent Unit; Testing not applicable.",IF(ISBLANK(G72),"Input "&amp;G70,IF(ISBLANK(H72),"Input "&amp;H70,IF(ISBLANK(I72),"Input "&amp;I70,IF(OR(J72="select one",ISBLANK(J72)),"Input "&amp;J70,IF(F72="PASS","Spillage: PASS. ",IF(F72="FAIL","Spillage: FAIL – Reference TABLE D.1.A.",IF(F72="NA","Spillage: Not Applicable",IF(F72="Non-Op","Spillage: Not Applicable","Input spillage. "))))&amp;CHAR(10)&amp;IF(H72="NA","Air Free CO: Not Applicable.",IF('Table 4'!U4=TRUE,'Table 4'!M10,"Air Free CO: PASS.")&amp;CHAR(10)&amp;IF(AND(I72&gt;=9,I72&lt;=35),"Ambient CO: Follow Action Levels (Section 7.3.3.3)",IF(AND(I72&gt;=36,I72&lt;=69),"Ambient CO: Follow Action Levels (Section 7.3.3.2)",IF(I72&gt;=70,"Ambient CO: FAIL - See Action Levels (Section 7.3.3.1)","Ambient CO: PASS."))))))))))))))))</f>
        <v>Input CAZ Zone</v>
      </c>
      <c r="M72" s="54"/>
      <c r="N72" s="54"/>
      <c r="O72" s="54"/>
      <c r="Q72" s="54"/>
      <c r="R72" s="54"/>
      <c r="S72" s="54"/>
      <c r="T72" s="54"/>
      <c r="U72" s="42"/>
    </row>
    <row r="73" spans="1:25" ht="21.95" customHeight="1" x14ac:dyDescent="0.2">
      <c r="B73" s="338"/>
      <c r="C73" s="340"/>
      <c r="D73" s="340"/>
      <c r="E73" s="340"/>
      <c r="F73" s="311"/>
      <c r="G73" s="291"/>
      <c r="H73" s="294"/>
      <c r="I73" s="294"/>
      <c r="J73" s="296"/>
      <c r="K73" s="427"/>
      <c r="M73" s="54"/>
      <c r="N73" s="54"/>
      <c r="O73" s="54"/>
      <c r="Q73" s="54"/>
      <c r="R73" s="54"/>
      <c r="S73" s="54"/>
      <c r="T73" s="54"/>
      <c r="U73" s="42"/>
    </row>
    <row r="74" spans="1:25" ht="21.95" customHeight="1" x14ac:dyDescent="0.2">
      <c r="B74" s="338"/>
      <c r="C74" s="340"/>
      <c r="D74" s="340"/>
      <c r="E74" s="340"/>
      <c r="F74" s="311"/>
      <c r="G74" s="291"/>
      <c r="H74" s="294"/>
      <c r="I74" s="294"/>
      <c r="J74" s="296"/>
      <c r="K74" s="427"/>
      <c r="M74" s="54"/>
      <c r="N74" s="54"/>
      <c r="O74" s="54"/>
      <c r="Q74" s="54"/>
      <c r="R74" s="54"/>
      <c r="S74" s="54"/>
      <c r="T74" s="54"/>
      <c r="U74" s="42"/>
    </row>
    <row r="75" spans="1:25" ht="21.95" customHeight="1" thickBot="1" x14ac:dyDescent="0.25">
      <c r="B75" s="370"/>
      <c r="C75" s="359"/>
      <c r="D75" s="359"/>
      <c r="E75" s="359"/>
      <c r="F75" s="360"/>
      <c r="G75" s="292"/>
      <c r="H75" s="295"/>
      <c r="I75" s="295"/>
      <c r="J75" s="297"/>
      <c r="K75" s="427"/>
      <c r="M75" s="54"/>
      <c r="N75" s="54"/>
      <c r="O75" s="54"/>
      <c r="Q75" s="54"/>
      <c r="R75" s="54"/>
      <c r="S75" s="54"/>
      <c r="T75" s="54"/>
      <c r="U75" s="42"/>
    </row>
    <row r="76" spans="1:25" ht="21.95" customHeight="1" x14ac:dyDescent="0.2">
      <c r="B76" s="337"/>
      <c r="C76" s="339"/>
      <c r="D76" s="339"/>
      <c r="E76" s="339"/>
      <c r="F76" s="310"/>
      <c r="G76" s="290"/>
      <c r="H76" s="293"/>
      <c r="I76" s="293"/>
      <c r="J76" s="312"/>
      <c r="K76" s="281" t="str">
        <f>IF(OR($B$76="select one",ISBLANK($B$76)),"Input "&amp;$B$70,IF(OR($C$76="select one",ISBLANK($C$76)),"Input "&amp;$C$70,IF(OR($D$76="select one",ISBLANK($D$76)),"Input "&amp;$D$70,IF(OR($E$76="select one",ISBLANK($E$76)),"Input "&amp;$E$70,IF(OR($F$76="select one",ISBLANK($F$76)),"Input "&amp;$F$70,IF($F$76="Non-Op","System is non operational. Testing not applicable.",IF(AND($E$76="Mechanically Assisted",$F$76="NA",$H$76="NA"),"Mechanically Assisted Unit; Testing not applicable.",IF(AND($E$76="Direct Vent",$F$76="NA",$H$76="NA"),"Direct Vent Unit; Testing not applicable.",IF(ISBLANK($G$76),"Input "&amp;$G$70,IF(ISBLANK($H$76),"Input "&amp;$H$70,IF(ISBLANK($I$76),"Input "&amp;$I$70,IF(OR($J$76="select one",ISBLANK($J$76)),"Input "&amp;$J$70,IF($F$76="PASS","Spillage: PASS. ",IF($F$76="FAIL","Spillage: FAIL – Reference TABLE D.1.A.",IF($F$76="NA","Spillage: Not Applicable",IF($F$76="Non-Op","Spillage: Not Applicable","Input spillage. "))))&amp;CHAR(10)&amp;IF($H$76="NA","Air Free CO: Not Applicable.",IF('Table 4'!$U$5=TRUE,'Table 4'!$M$10,"Air Free CO: PASS.")&amp;CHAR(10)&amp;IF(AND($I$76&gt;=9,$I$76&lt;=35),"Ambient CO: Follow Action Levels (Section 7.3.3.3)",IF(AND($I$76&gt;=36,$I$76&lt;=69),"Ambient CO: Follow Action Levels (Section 7.3.3.2)",IF($I$76&gt;=70,"Ambient CO: FAIL - See Action Levels (Section 7.3.3.1)","Ambient CO: PASS."))))))))))))))))</f>
        <v>Input CAZ Zone</v>
      </c>
      <c r="M76" s="54"/>
      <c r="N76" s="54"/>
      <c r="O76" s="54"/>
      <c r="P76" s="59"/>
      <c r="Q76" s="54"/>
      <c r="R76" s="54"/>
      <c r="S76" s="54"/>
      <c r="T76" s="54"/>
      <c r="U76" s="54"/>
      <c r="V76" s="59"/>
      <c r="W76" s="42"/>
      <c r="X76" s="42"/>
      <c r="Y76" s="42"/>
    </row>
    <row r="77" spans="1:25" ht="21.95" customHeight="1" x14ac:dyDescent="0.2">
      <c r="B77" s="338"/>
      <c r="C77" s="340"/>
      <c r="D77" s="340"/>
      <c r="E77" s="340"/>
      <c r="F77" s="311"/>
      <c r="G77" s="291"/>
      <c r="H77" s="294"/>
      <c r="I77" s="294"/>
      <c r="J77" s="296"/>
      <c r="K77" s="282"/>
      <c r="M77" s="54"/>
      <c r="N77" s="54"/>
      <c r="O77" s="54"/>
      <c r="P77" s="59"/>
      <c r="Q77" s="59"/>
      <c r="R77" s="59"/>
      <c r="S77" s="59"/>
      <c r="T77" s="59"/>
      <c r="U77" s="54"/>
      <c r="V77" s="59"/>
      <c r="W77" s="42"/>
      <c r="X77" s="42"/>
      <c r="Y77" s="42"/>
    </row>
    <row r="78" spans="1:25" ht="21.95" customHeight="1" x14ac:dyDescent="0.2">
      <c r="B78" s="338"/>
      <c r="C78" s="340"/>
      <c r="D78" s="340"/>
      <c r="E78" s="340"/>
      <c r="F78" s="311"/>
      <c r="G78" s="291"/>
      <c r="H78" s="294"/>
      <c r="I78" s="294"/>
      <c r="J78" s="296"/>
      <c r="K78" s="282"/>
      <c r="M78" s="54"/>
      <c r="N78" s="54"/>
      <c r="O78" s="54"/>
      <c r="P78" s="59"/>
      <c r="Q78" s="59"/>
      <c r="R78" s="59"/>
      <c r="S78" s="59"/>
      <c r="T78" s="59"/>
      <c r="U78" s="59"/>
      <c r="V78" s="59"/>
      <c r="W78" s="42"/>
      <c r="X78" s="42"/>
      <c r="Y78" s="42"/>
    </row>
    <row r="79" spans="1:25" ht="21.95" customHeight="1" thickBot="1" x14ac:dyDescent="0.25">
      <c r="B79" s="370"/>
      <c r="C79" s="359"/>
      <c r="D79" s="359"/>
      <c r="E79" s="359"/>
      <c r="F79" s="360"/>
      <c r="G79" s="292"/>
      <c r="H79" s="295"/>
      <c r="I79" s="295"/>
      <c r="J79" s="297"/>
      <c r="K79" s="283"/>
      <c r="M79" s="54"/>
      <c r="N79" s="54"/>
      <c r="O79" s="54"/>
      <c r="P79" s="59"/>
      <c r="Q79" s="59"/>
      <c r="R79" s="59"/>
      <c r="S79" s="59"/>
      <c r="T79" s="59"/>
      <c r="U79" s="59"/>
      <c r="V79" s="59"/>
      <c r="W79" s="42"/>
      <c r="X79" s="42"/>
      <c r="Y79" s="42"/>
    </row>
    <row r="80" spans="1:25" ht="21.95" customHeight="1" x14ac:dyDescent="0.2">
      <c r="B80" s="337"/>
      <c r="C80" s="339"/>
      <c r="D80" s="339"/>
      <c r="E80" s="339"/>
      <c r="F80" s="310"/>
      <c r="G80" s="290"/>
      <c r="H80" s="293"/>
      <c r="I80" s="293"/>
      <c r="J80" s="312"/>
      <c r="K80" s="281" t="str">
        <f>IF(OR($B$80="select one",ISBLANK($B$80)),"Input "&amp;$B$70,IF(OR($C$80="select one",ISBLANK($C$80)),"Input "&amp;$C$70,IF(OR($D$80="select one",ISBLANK($D$80)),"Input "&amp;$D$70,IF(OR($E$80="select one",ISBLANK($E$80)),"Input "&amp;$E$70,IF(OR($F$80="select one",ISBLANK($F$80)),"Input "&amp;$F$70,IF($F$80="Non-Op","System is non operational. Testing not applicable.",IF(AND($E$80="Mechanically Assisted",$F$80="NA",$H$80="NA"),"Mechanically Assisted Unit; Testing not applicable.",IF(AND($E$80="Direct Vent",$F$80="NA",$H$80="NA"),"Direct Vent Unit; Testing not applicable.",IF(ISBLANK($G$80),"Input "&amp;$G$70,IF(ISBLANK($H$80),"Input "&amp;$H$70,IF(ISBLANK($I$80),"Input "&amp;$I$70,IF(OR($J$80="select one",ISBLANK($J$80)),"Input "&amp;$J$70,IF($F$80="PASS","Spillage: PASS. ",IF($F$80="FAIL","Spillage: FAIL – Reference TABLE D.1.A.",IF($F$80="NA","Spillage: Not Applicable",IF($F$80="Non-Op","Spillage: Not Applicable","Input spillage. "))))&amp;CHAR(10)&amp;IF($H$80="NA","Air Free CO: Not Applicable.",IF('Table 4'!$U$6=TRUE,'Table 4'!$M$10,"Air Free CO: PASS.")&amp;CHAR(10)&amp;IF(AND($I$80&gt;=9,$I$80&lt;=35),"Ambient CO: Follow Action Levels (Section 7.3.3.3)",IF(AND($I$80&gt;=36,$I$80&lt;=69),"Ambient CO: Follow Action Levels (Section 7.3.3.2)",IF($I$80&gt;=70,"Ambient CO: FAIL - See Action Levels (Section 7.3.3.1)","Ambient CO: PASS."))))))))))))))))</f>
        <v>Input CAZ Zone</v>
      </c>
      <c r="M80" s="54"/>
      <c r="N80" s="54"/>
      <c r="O80" s="54"/>
      <c r="R80" s="42"/>
      <c r="S80" s="42"/>
    </row>
    <row r="81" spans="1:41" ht="21.95" customHeight="1" x14ac:dyDescent="0.2">
      <c r="B81" s="338"/>
      <c r="C81" s="340"/>
      <c r="D81" s="340"/>
      <c r="E81" s="340"/>
      <c r="F81" s="311"/>
      <c r="G81" s="291"/>
      <c r="H81" s="294"/>
      <c r="I81" s="294"/>
      <c r="J81" s="296"/>
      <c r="K81" s="282"/>
      <c r="M81" s="54"/>
      <c r="N81" s="54"/>
      <c r="O81" s="54"/>
      <c r="R81" s="42"/>
      <c r="S81" s="42"/>
    </row>
    <row r="82" spans="1:41" ht="21.95" customHeight="1" x14ac:dyDescent="0.2">
      <c r="B82" s="338"/>
      <c r="C82" s="340"/>
      <c r="D82" s="340"/>
      <c r="E82" s="340"/>
      <c r="F82" s="311"/>
      <c r="G82" s="291"/>
      <c r="H82" s="294"/>
      <c r="I82" s="294"/>
      <c r="J82" s="296"/>
      <c r="K82" s="282"/>
      <c r="M82" s="54"/>
      <c r="N82" s="54"/>
      <c r="O82" s="54"/>
      <c r="R82" s="42"/>
      <c r="S82" s="42"/>
    </row>
    <row r="83" spans="1:41" ht="21.95" customHeight="1" thickBot="1" x14ac:dyDescent="0.25">
      <c r="B83" s="338"/>
      <c r="C83" s="340"/>
      <c r="D83" s="340"/>
      <c r="E83" s="340"/>
      <c r="F83" s="311"/>
      <c r="G83" s="291"/>
      <c r="H83" s="294"/>
      <c r="I83" s="294"/>
      <c r="J83" s="296"/>
      <c r="K83" s="285"/>
      <c r="M83" s="54"/>
      <c r="N83" s="54"/>
      <c r="R83" s="42"/>
      <c r="S83" s="42"/>
    </row>
    <row r="84" spans="1:41" ht="21.95" customHeight="1" x14ac:dyDescent="0.2">
      <c r="B84" s="337"/>
      <c r="C84" s="339"/>
      <c r="D84" s="339"/>
      <c r="E84" s="339"/>
      <c r="F84" s="310"/>
      <c r="G84" s="290"/>
      <c r="H84" s="293"/>
      <c r="I84" s="293"/>
      <c r="J84" s="312"/>
      <c r="K84" s="284" t="str">
        <f>IF(OR($B$84="select one",ISBLANK($B$84)),"Input "&amp;$B$70,IF(OR($C$84="select one",ISBLANK($C$84)),"Input "&amp;$C$70,IF(OR($D$84="select one",ISBLANK($D$84)),"Input "&amp;$D$70,IF(OR($E$84="select one",ISBLANK($E$84)),"Input "&amp;$E$70,IF(OR($F$84="select one",ISBLANK($F$84)),"Input "&amp;$F$70,IF($F$84="Non-Op","System is non operational. Testing not applicable.",IF(AND($E$84="Mechanically Assisted",$F$84="NA",$H$84="NA"),"Mechanically Assisted Unit; Testing not applicable.",IF(AND($E$84="Direct Vent",$F$84="NA",$H$84="NA"),"Direct Vent Unit; Testing not applicable.",IF(ISBLANK($G$84),"Input "&amp;$G$70,IF(ISBLANK($H$84),"Input "&amp;$H$70,IF(ISBLANK($I$84),"Input "&amp;$I$70,IF(OR($J$84="select one",ISBLANK($J$84)),"Input "&amp;$J$70,IF($F$84="PASS","Spillage: PASS. ",IF($F$84="FAIL","Spillage: FAIL – Reference TABLE D.1.A.",IF($F$84="NA","Spillage: Not Applicable",IF($F$84="Non-Op","Spillage: Not Applicable","Input spillage. "))))&amp;CHAR(10)&amp;IF($H$84="NA","Air Free CO: Not Applicable.",IF('Table 4'!$U$7=TRUE,'Table 4'!$M$10,"Air Free CO: PASS.")&amp;CHAR(10)&amp;IF(AND($I$84&gt;=9,$I$84&lt;=35),"Ambient CO: Follow Action Levels (Section 7.3.3.3)",IF(AND($I$84&gt;=36,$I$84&lt;=69),"Ambient CO: Follow Action Levels (Section 7.3.3.2)",IF($I$84&gt;=70,"Ambient CO: FAIL - See Action Levels (Section 7.3.3.1)","Ambient CO: PASS."))))))))))))))))</f>
        <v>Input CAZ Zone</v>
      </c>
      <c r="M84" s="54"/>
      <c r="N84" s="54"/>
      <c r="R84" s="42"/>
      <c r="S84" s="42"/>
    </row>
    <row r="85" spans="1:41" ht="21.95" customHeight="1" x14ac:dyDescent="0.2">
      <c r="B85" s="338"/>
      <c r="C85" s="340"/>
      <c r="D85" s="340"/>
      <c r="E85" s="340"/>
      <c r="F85" s="311"/>
      <c r="G85" s="291"/>
      <c r="H85" s="294"/>
      <c r="I85" s="294"/>
      <c r="J85" s="296"/>
      <c r="K85" s="282"/>
      <c r="M85" s="54"/>
      <c r="N85" s="54"/>
      <c r="O85" s="54"/>
      <c r="T85" s="42"/>
      <c r="U85" s="42"/>
    </row>
    <row r="86" spans="1:41" ht="21.95" customHeight="1" x14ac:dyDescent="0.25">
      <c r="B86" s="338"/>
      <c r="C86" s="340"/>
      <c r="D86" s="340"/>
      <c r="E86" s="340"/>
      <c r="F86" s="311"/>
      <c r="G86" s="291"/>
      <c r="H86" s="294"/>
      <c r="I86" s="294"/>
      <c r="J86" s="296"/>
      <c r="K86" s="282"/>
      <c r="M86" s="54"/>
      <c r="N86" s="54"/>
      <c r="O86" s="59"/>
      <c r="P86" s="59"/>
      <c r="Q86" s="59"/>
      <c r="R86" s="65" t="s">
        <v>89</v>
      </c>
      <c r="S86" s="59"/>
      <c r="T86" s="59"/>
      <c r="U86" s="59"/>
      <c r="V86" s="59"/>
      <c r="W86" s="42"/>
      <c r="X86" s="42"/>
      <c r="Y86" s="42"/>
      <c r="Z86" s="42"/>
      <c r="AA86" s="42"/>
      <c r="AB86" s="42"/>
      <c r="AC86" s="42"/>
      <c r="AD86" s="42"/>
      <c r="AE86" s="42"/>
      <c r="AF86" s="42"/>
      <c r="AG86" s="42"/>
      <c r="AH86" s="42"/>
      <c r="AI86" s="42"/>
      <c r="AJ86" s="42"/>
      <c r="AK86" s="42"/>
      <c r="AL86" s="42"/>
      <c r="AM86" s="42"/>
      <c r="AN86" s="42"/>
      <c r="AO86" s="42"/>
    </row>
    <row r="87" spans="1:41" ht="21.95" customHeight="1" thickBot="1" x14ac:dyDescent="0.25">
      <c r="B87" s="370"/>
      <c r="C87" s="359"/>
      <c r="D87" s="359"/>
      <c r="E87" s="359"/>
      <c r="F87" s="360"/>
      <c r="G87" s="292"/>
      <c r="H87" s="295"/>
      <c r="I87" s="295"/>
      <c r="J87" s="297"/>
      <c r="K87" s="285"/>
      <c r="M87" s="54"/>
      <c r="N87" s="54"/>
      <c r="O87" s="54"/>
      <c r="P87" s="54"/>
      <c r="Q87" s="54"/>
      <c r="R87" s="54"/>
      <c r="S87" s="54"/>
      <c r="T87" s="54"/>
      <c r="U87" s="54"/>
      <c r="V87" s="54"/>
      <c r="W87" s="54"/>
      <c r="X87" s="54"/>
      <c r="Y87" s="54"/>
      <c r="Z87" s="54"/>
      <c r="AA87" s="54"/>
      <c r="AB87" s="54"/>
      <c r="AC87" s="54"/>
      <c r="AD87" s="54"/>
      <c r="AE87" s="54"/>
      <c r="AF87" s="54"/>
      <c r="AG87" s="54"/>
      <c r="AH87" s="54"/>
      <c r="AI87" s="54"/>
      <c r="AJ87" s="54"/>
    </row>
    <row r="88" spans="1:41" ht="15" customHeight="1" x14ac:dyDescent="0.2">
      <c r="B88" s="59"/>
      <c r="C88" s="59"/>
      <c r="D88" s="59"/>
      <c r="E88" s="59"/>
      <c r="F88" s="59"/>
      <c r="G88" s="59"/>
      <c r="H88" s="59"/>
      <c r="I88" s="59"/>
      <c r="J88" s="59"/>
      <c r="K88" s="59"/>
      <c r="M88" s="59"/>
      <c r="N88" s="54"/>
      <c r="O88" s="54"/>
      <c r="P88" s="54"/>
      <c r="Q88" s="54"/>
      <c r="R88" s="54"/>
      <c r="S88" s="54"/>
      <c r="T88" s="54"/>
      <c r="U88" s="54"/>
      <c r="V88" s="54"/>
      <c r="W88" s="54"/>
      <c r="X88" s="54"/>
      <c r="Y88" s="54"/>
      <c r="Z88" s="54"/>
      <c r="AA88" s="54"/>
      <c r="AB88" s="54"/>
      <c r="AC88" s="54"/>
      <c r="AD88" s="54"/>
      <c r="AE88" s="54"/>
      <c r="AF88" s="54"/>
      <c r="AG88" s="54"/>
      <c r="AH88" s="54"/>
      <c r="AI88" s="54"/>
      <c r="AJ88" s="54"/>
      <c r="AK88" s="54"/>
    </row>
    <row r="89" spans="1:41" ht="23.25" x14ac:dyDescent="0.2">
      <c r="B89" s="170" t="s">
        <v>90</v>
      </c>
      <c r="C89" s="194"/>
      <c r="D89" s="170"/>
      <c r="E89" s="194"/>
      <c r="F89" s="194"/>
      <c r="G89" s="148"/>
      <c r="H89" s="148"/>
      <c r="I89" s="148"/>
      <c r="J89" s="148"/>
      <c r="K89" s="148"/>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row>
    <row r="90" spans="1:41" ht="15" thickBot="1" x14ac:dyDescent="0.25">
      <c r="B90" s="59"/>
      <c r="C90" s="59"/>
      <c r="D90" s="59"/>
      <c r="E90" s="59"/>
      <c r="F90" s="59"/>
      <c r="G90" s="59"/>
      <c r="H90" s="59"/>
      <c r="I90" s="59"/>
      <c r="J90" s="59"/>
      <c r="K90" s="59"/>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row>
    <row r="91" spans="1:41" ht="15" customHeight="1" x14ac:dyDescent="0.2">
      <c r="B91" s="286" t="s">
        <v>1577</v>
      </c>
      <c r="C91" s="287"/>
      <c r="D91" s="288" t="s">
        <v>92</v>
      </c>
      <c r="E91" s="369"/>
      <c r="F91" s="288" t="s">
        <v>93</v>
      </c>
      <c r="G91" s="313" t="s">
        <v>94</v>
      </c>
      <c r="H91" s="314"/>
      <c r="I91" s="323" t="s">
        <v>95</v>
      </c>
      <c r="J91" s="324"/>
      <c r="K91" s="325"/>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row>
    <row r="92" spans="1:41" ht="15" customHeight="1" thickBot="1" x14ac:dyDescent="0.25">
      <c r="B92" s="217" t="s">
        <v>96</v>
      </c>
      <c r="C92" s="218" t="s">
        <v>97</v>
      </c>
      <c r="D92" s="218" t="s">
        <v>96</v>
      </c>
      <c r="E92" s="219" t="s">
        <v>97</v>
      </c>
      <c r="F92" s="289"/>
      <c r="G92" s="315"/>
      <c r="H92" s="316"/>
      <c r="I92" s="326"/>
      <c r="J92" s="327"/>
      <c r="K92" s="328"/>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row>
    <row r="93" spans="1:41" ht="20.100000000000001" customHeight="1" x14ac:dyDescent="0.2">
      <c r="B93" s="361"/>
      <c r="C93" s="294"/>
      <c r="D93" s="363"/>
      <c r="E93" s="365"/>
      <c r="F93" s="367" t="s">
        <v>1610</v>
      </c>
      <c r="G93" s="317" t="str">
        <f>IF(OR($F$93="Select One",ISBLANK($F$93)),"Input Gas Line Testing Results",IF($F$93="select one","Input Gas Line Testing Results",IF(OR($B$93&gt;=70,D96&gt;=70),"· Ambient CO - FAIL - See Action Levels (Section 7.3.3.1)",IF(OR($B$93&gt;=9,D96&gt;=9),"· Ambient CO - Follow Action Levels (Section 7.3.3.3)","·Ambient CO - PASS")&amp;CHAR(10)&amp;IF('Table 4'!$T$24="TRUE","·The "&amp;$B$91&amp;'Table 4'!$B$24,"·The "&amp;$B$91&amp;" - "&amp;'Table 4'!$B$21))&amp;CHAR(10)&amp;IF('Table 4'!$T$19="TRUE","·The "&amp;$D$91&amp;" - "&amp;'Table 4'!$C$20,"·The "&amp;$D$91&amp;" - "&amp;'Table 4'!$B$21))&amp;CHAR(10)&amp;IF($F$93="PASS","·Gas line testing - PASS.","·Gas line testing - FAIL."))</f>
        <v>Input Gas Line Testing Results</v>
      </c>
      <c r="H93" s="318"/>
      <c r="I93" s="326"/>
      <c r="J93" s="327"/>
      <c r="K93" s="328"/>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row>
    <row r="94" spans="1:41" ht="20.100000000000001" customHeight="1" x14ac:dyDescent="0.2">
      <c r="B94" s="361"/>
      <c r="C94" s="294"/>
      <c r="D94" s="363"/>
      <c r="E94" s="365"/>
      <c r="F94" s="367"/>
      <c r="G94" s="317"/>
      <c r="H94" s="318"/>
      <c r="I94" s="326"/>
      <c r="J94" s="327"/>
      <c r="K94" s="328"/>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row>
    <row r="95" spans="1:41" ht="20.100000000000001" customHeight="1" x14ac:dyDescent="0.2">
      <c r="B95" s="361"/>
      <c r="C95" s="294"/>
      <c r="D95" s="363"/>
      <c r="E95" s="365"/>
      <c r="F95" s="367"/>
      <c r="G95" s="317"/>
      <c r="H95" s="318"/>
      <c r="I95" s="326"/>
      <c r="J95" s="327"/>
      <c r="K95" s="328"/>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row>
    <row r="96" spans="1:41" ht="20.100000000000001" customHeight="1" thickBot="1" x14ac:dyDescent="0.25">
      <c r="A96" s="59"/>
      <c r="B96" s="362"/>
      <c r="C96" s="295"/>
      <c r="D96" s="364"/>
      <c r="E96" s="366"/>
      <c r="F96" s="368"/>
      <c r="G96" s="319"/>
      <c r="H96" s="320"/>
      <c r="I96" s="326"/>
      <c r="J96" s="327"/>
      <c r="K96" s="328"/>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row>
    <row r="97" spans="1:37" ht="30.75" customHeight="1" thickBot="1" x14ac:dyDescent="0.25">
      <c r="A97" s="59"/>
      <c r="B97" s="332" t="s">
        <v>98</v>
      </c>
      <c r="C97" s="333"/>
      <c r="D97" s="321" t="s">
        <v>1610</v>
      </c>
      <c r="E97" s="322"/>
      <c r="F97" s="334"/>
      <c r="G97" s="335"/>
      <c r="H97" s="336"/>
      <c r="I97" s="329"/>
      <c r="J97" s="330"/>
      <c r="K97" s="331"/>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row>
    <row r="98" spans="1:37" x14ac:dyDescent="0.2">
      <c r="A98" s="59"/>
      <c r="B98" s="59"/>
      <c r="C98" s="63"/>
      <c r="D98" s="63"/>
      <c r="E98" s="63"/>
      <c r="F98" s="63"/>
      <c r="G98" s="63"/>
      <c r="H98" s="63"/>
      <c r="I98" s="59"/>
      <c r="J98" s="64"/>
      <c r="K98" s="59"/>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row>
    <row r="99" spans="1:37" ht="15.75" thickBot="1" x14ac:dyDescent="0.25">
      <c r="A99" s="59"/>
      <c r="B99" s="309" t="s">
        <v>74</v>
      </c>
      <c r="C99" s="309"/>
      <c r="D99" s="309"/>
      <c r="E99" s="309"/>
      <c r="F99" s="309"/>
      <c r="G99" s="308" t="s">
        <v>75</v>
      </c>
      <c r="H99" s="308"/>
      <c r="I99" s="308"/>
      <c r="J99" s="308"/>
      <c r="K99" s="308"/>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row>
    <row r="100" spans="1:37" x14ac:dyDescent="0.2">
      <c r="A100" s="59"/>
      <c r="B100" s="298"/>
      <c r="C100" s="299"/>
      <c r="D100" s="299"/>
      <c r="E100" s="300"/>
      <c r="F100" s="298"/>
      <c r="G100" s="299"/>
      <c r="H100" s="299"/>
      <c r="I100" s="299"/>
      <c r="J100" s="299"/>
      <c r="K100" s="300"/>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row>
    <row r="101" spans="1:37" x14ac:dyDescent="0.2">
      <c r="A101" s="59"/>
      <c r="B101" s="301"/>
      <c r="C101" s="302"/>
      <c r="D101" s="302"/>
      <c r="E101" s="303"/>
      <c r="F101" s="301"/>
      <c r="G101" s="302"/>
      <c r="H101" s="302"/>
      <c r="I101" s="302"/>
      <c r="J101" s="302"/>
      <c r="K101" s="303"/>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row>
    <row r="102" spans="1:37" x14ac:dyDescent="0.2">
      <c r="A102" s="59"/>
      <c r="B102" s="301"/>
      <c r="C102" s="302"/>
      <c r="D102" s="302"/>
      <c r="E102" s="303"/>
      <c r="F102" s="301"/>
      <c r="G102" s="302"/>
      <c r="H102" s="302"/>
      <c r="I102" s="302"/>
      <c r="J102" s="302"/>
      <c r="K102" s="303"/>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row>
    <row r="103" spans="1:37" x14ac:dyDescent="0.2">
      <c r="A103" s="59"/>
      <c r="B103" s="301"/>
      <c r="C103" s="302"/>
      <c r="D103" s="302"/>
      <c r="E103" s="303"/>
      <c r="F103" s="301"/>
      <c r="G103" s="302"/>
      <c r="H103" s="302"/>
      <c r="I103" s="302"/>
      <c r="J103" s="302"/>
      <c r="K103" s="303"/>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row>
    <row r="104" spans="1:37" ht="14.25" hidden="1" customHeight="1" x14ac:dyDescent="0.2">
      <c r="A104" s="42"/>
      <c r="B104" s="301"/>
      <c r="C104" s="302"/>
      <c r="D104" s="302"/>
      <c r="E104" s="303"/>
      <c r="F104" s="301"/>
      <c r="G104" s="302"/>
      <c r="H104" s="302"/>
      <c r="I104" s="302"/>
      <c r="J104" s="302"/>
      <c r="K104" s="303"/>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row>
    <row r="105" spans="1:37" ht="15" hidden="1" customHeight="1" thickBot="1" x14ac:dyDescent="0.25">
      <c r="A105" s="42"/>
      <c r="B105" s="301"/>
      <c r="C105" s="302"/>
      <c r="D105" s="302"/>
      <c r="E105" s="303"/>
      <c r="F105" s="301"/>
      <c r="G105" s="302"/>
      <c r="H105" s="302"/>
      <c r="I105" s="302"/>
      <c r="J105" s="302"/>
      <c r="K105" s="303"/>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row>
    <row r="106" spans="1:37" ht="14.25" hidden="1" customHeight="1" x14ac:dyDescent="0.2">
      <c r="A106" s="42"/>
      <c r="B106" s="301"/>
      <c r="C106" s="302"/>
      <c r="D106" s="302"/>
      <c r="E106" s="303"/>
      <c r="F106" s="301"/>
      <c r="G106" s="302"/>
      <c r="H106" s="302"/>
      <c r="I106" s="302"/>
      <c r="J106" s="302"/>
      <c r="K106" s="303"/>
      <c r="M106" s="173"/>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42"/>
    </row>
    <row r="107" spans="1:37" ht="14.25" hidden="1" customHeight="1" x14ac:dyDescent="0.2">
      <c r="A107" s="42"/>
      <c r="B107" s="301"/>
      <c r="C107" s="302"/>
      <c r="D107" s="302"/>
      <c r="E107" s="303"/>
      <c r="F107" s="301"/>
      <c r="G107" s="302"/>
      <c r="H107" s="302"/>
      <c r="I107" s="302"/>
      <c r="J107" s="302"/>
      <c r="K107" s="303"/>
      <c r="M107" s="173"/>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42"/>
    </row>
    <row r="108" spans="1:37" ht="14.25" hidden="1" customHeight="1" x14ac:dyDescent="0.2">
      <c r="A108" s="42"/>
      <c r="B108" s="301"/>
      <c r="C108" s="302"/>
      <c r="D108" s="302"/>
      <c r="E108" s="303"/>
      <c r="F108" s="301"/>
      <c r="G108" s="302"/>
      <c r="H108" s="302"/>
      <c r="I108" s="302"/>
      <c r="J108" s="302"/>
      <c r="K108" s="303"/>
      <c r="M108" s="173"/>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42"/>
    </row>
    <row r="109" spans="1:37" ht="14.25" hidden="1" customHeight="1" x14ac:dyDescent="0.2">
      <c r="A109" s="42"/>
      <c r="B109" s="301"/>
      <c r="C109" s="302"/>
      <c r="D109" s="302"/>
      <c r="E109" s="303"/>
      <c r="F109" s="301"/>
      <c r="G109" s="302"/>
      <c r="H109" s="302"/>
      <c r="I109" s="302"/>
      <c r="J109" s="302"/>
      <c r="K109" s="303"/>
      <c r="M109" s="173"/>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42"/>
    </row>
    <row r="110" spans="1:37" ht="14.25" hidden="1" customHeight="1" x14ac:dyDescent="0.2">
      <c r="A110" s="42"/>
      <c r="B110" s="301"/>
      <c r="C110" s="302"/>
      <c r="D110" s="302"/>
      <c r="E110" s="303"/>
      <c r="F110" s="301"/>
      <c r="G110" s="302"/>
      <c r="H110" s="302"/>
      <c r="I110" s="302"/>
      <c r="J110" s="302"/>
      <c r="K110" s="303"/>
      <c r="M110" s="173"/>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42"/>
    </row>
    <row r="111" spans="1:37" ht="14.25" hidden="1" customHeight="1" x14ac:dyDescent="0.2">
      <c r="A111" s="42"/>
      <c r="B111" s="301"/>
      <c r="C111" s="302"/>
      <c r="D111" s="302"/>
      <c r="E111" s="303"/>
      <c r="F111" s="301"/>
      <c r="G111" s="302"/>
      <c r="H111" s="302"/>
      <c r="I111" s="302"/>
      <c r="J111" s="302"/>
      <c r="K111" s="303"/>
      <c r="M111" s="173"/>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42"/>
    </row>
    <row r="112" spans="1:37" ht="14.25" hidden="1" customHeight="1" x14ac:dyDescent="0.2">
      <c r="A112" s="42"/>
      <c r="B112" s="301"/>
      <c r="C112" s="302"/>
      <c r="D112" s="302"/>
      <c r="E112" s="303"/>
      <c r="F112" s="301"/>
      <c r="G112" s="302"/>
      <c r="H112" s="302"/>
      <c r="I112" s="302"/>
      <c r="J112" s="302"/>
      <c r="K112" s="303"/>
      <c r="M112" s="173"/>
      <c r="N112" s="54"/>
      <c r="O112" s="54"/>
      <c r="P112" s="54"/>
      <c r="Q112" s="54"/>
      <c r="R112" s="54"/>
      <c r="S112" s="54"/>
      <c r="T112" s="54"/>
      <c r="U112" s="54"/>
      <c r="V112" s="54"/>
      <c r="W112" s="54"/>
      <c r="X112" s="54"/>
      <c r="Y112" s="54"/>
      <c r="Z112" s="42"/>
      <c r="AA112" s="42"/>
      <c r="AB112" s="42"/>
      <c r="AC112" s="42"/>
      <c r="AD112" s="42"/>
      <c r="AE112" s="42"/>
      <c r="AF112" s="42"/>
      <c r="AG112" s="42"/>
      <c r="AH112" s="42"/>
      <c r="AI112" s="42"/>
      <c r="AJ112" s="42"/>
      <c r="AK112" s="42"/>
    </row>
    <row r="113" spans="1:37" ht="14.25" hidden="1" customHeight="1" x14ac:dyDescent="0.2">
      <c r="A113" s="42"/>
      <c r="B113" s="301"/>
      <c r="C113" s="302"/>
      <c r="D113" s="302"/>
      <c r="E113" s="303"/>
      <c r="F113" s="301"/>
      <c r="G113" s="302"/>
      <c r="H113" s="302"/>
      <c r="I113" s="302"/>
      <c r="J113" s="302"/>
      <c r="K113" s="303"/>
      <c r="M113" s="173"/>
      <c r="N113" s="54"/>
      <c r="O113" s="54"/>
      <c r="P113" s="54"/>
      <c r="Q113" s="54"/>
      <c r="R113" s="54"/>
      <c r="S113" s="54"/>
      <c r="T113" s="54"/>
      <c r="U113" s="54"/>
      <c r="V113" s="54"/>
      <c r="W113" s="54"/>
      <c r="X113" s="54"/>
      <c r="Y113" s="54"/>
      <c r="Z113" s="42"/>
      <c r="AA113" s="42"/>
      <c r="AB113" s="42"/>
      <c r="AC113" s="42"/>
      <c r="AD113" s="42"/>
      <c r="AE113" s="42"/>
      <c r="AF113" s="42"/>
      <c r="AG113" s="42"/>
      <c r="AH113" s="42"/>
      <c r="AI113" s="42"/>
      <c r="AJ113" s="42"/>
      <c r="AK113" s="42"/>
    </row>
    <row r="114" spans="1:37" ht="14.25" hidden="1" customHeight="1" x14ac:dyDescent="0.2">
      <c r="A114" s="42"/>
      <c r="B114" s="301"/>
      <c r="C114" s="302"/>
      <c r="D114" s="302"/>
      <c r="E114" s="303"/>
      <c r="F114" s="301"/>
      <c r="G114" s="302"/>
      <c r="H114" s="302"/>
      <c r="I114" s="302"/>
      <c r="J114" s="302"/>
      <c r="K114" s="303"/>
      <c r="M114" s="173"/>
      <c r="N114" s="54"/>
      <c r="O114" s="54"/>
      <c r="P114" s="54"/>
      <c r="Q114" s="54"/>
      <c r="R114" s="54"/>
      <c r="S114" s="54"/>
      <c r="T114" s="54"/>
      <c r="U114" s="54"/>
      <c r="V114" s="54"/>
      <c r="W114" s="54"/>
      <c r="X114" s="54"/>
      <c r="Y114" s="54"/>
      <c r="Z114" s="42"/>
      <c r="AA114" s="42"/>
      <c r="AB114" s="42"/>
      <c r="AC114" s="42"/>
      <c r="AD114" s="42"/>
      <c r="AE114" s="42"/>
      <c r="AF114" s="42"/>
      <c r="AG114" s="42"/>
      <c r="AH114" s="42"/>
      <c r="AI114" s="42"/>
      <c r="AJ114" s="42"/>
      <c r="AK114" s="42"/>
    </row>
    <row r="115" spans="1:37" ht="14.25" hidden="1" customHeight="1" x14ac:dyDescent="0.2">
      <c r="A115" s="42"/>
      <c r="B115" s="301"/>
      <c r="C115" s="302"/>
      <c r="D115" s="302"/>
      <c r="E115" s="303"/>
      <c r="F115" s="301"/>
      <c r="G115" s="302"/>
      <c r="H115" s="302"/>
      <c r="I115" s="302"/>
      <c r="J115" s="302"/>
      <c r="K115" s="303"/>
      <c r="M115" s="173"/>
      <c r="N115" s="54"/>
      <c r="O115" s="54"/>
      <c r="P115" s="54"/>
      <c r="Q115" s="54"/>
      <c r="R115" s="54"/>
      <c r="S115" s="54"/>
      <c r="T115" s="54"/>
      <c r="U115" s="54"/>
      <c r="V115" s="54"/>
      <c r="W115" s="54"/>
      <c r="X115" s="54"/>
      <c r="Y115" s="54"/>
      <c r="Z115" s="42"/>
      <c r="AA115" s="42"/>
      <c r="AB115" s="42"/>
      <c r="AC115" s="42"/>
      <c r="AD115" s="42"/>
      <c r="AE115" s="42"/>
      <c r="AF115" s="42"/>
      <c r="AG115" s="42"/>
      <c r="AH115" s="42"/>
      <c r="AI115" s="42"/>
      <c r="AJ115" s="42"/>
      <c r="AK115" s="42"/>
    </row>
    <row r="116" spans="1:37" ht="14.25" hidden="1" customHeight="1" x14ac:dyDescent="0.2">
      <c r="A116" s="42"/>
      <c r="B116" s="301"/>
      <c r="C116" s="302"/>
      <c r="D116" s="302"/>
      <c r="E116" s="303"/>
      <c r="F116" s="301"/>
      <c r="G116" s="302"/>
      <c r="H116" s="302"/>
      <c r="I116" s="302"/>
      <c r="J116" s="302"/>
      <c r="K116" s="303"/>
      <c r="M116" s="173"/>
      <c r="N116" s="54"/>
      <c r="O116" s="54"/>
      <c r="P116" s="54"/>
      <c r="Q116" s="54"/>
      <c r="R116" s="54"/>
      <c r="S116" s="54"/>
      <c r="T116" s="42"/>
      <c r="U116" s="42"/>
      <c r="V116" s="42"/>
      <c r="W116" s="42"/>
      <c r="X116" s="42"/>
      <c r="Y116" s="42"/>
      <c r="Z116" s="42"/>
      <c r="AA116" s="42"/>
      <c r="AB116" s="42"/>
      <c r="AC116" s="42"/>
      <c r="AD116" s="42"/>
      <c r="AE116" s="42"/>
      <c r="AF116" s="42"/>
      <c r="AG116" s="42"/>
      <c r="AH116" s="42"/>
      <c r="AI116" s="42"/>
      <c r="AJ116" s="42"/>
      <c r="AK116" s="42"/>
    </row>
    <row r="117" spans="1:37" ht="14.25" hidden="1" customHeight="1" x14ac:dyDescent="0.2">
      <c r="A117" s="42"/>
      <c r="B117" s="301"/>
      <c r="C117" s="302"/>
      <c r="D117" s="302"/>
      <c r="E117" s="303"/>
      <c r="F117" s="301"/>
      <c r="G117" s="302"/>
      <c r="H117" s="302"/>
      <c r="I117" s="302"/>
      <c r="J117" s="302"/>
      <c r="K117" s="303"/>
      <c r="M117" s="173"/>
      <c r="N117" s="54"/>
      <c r="O117" s="54"/>
      <c r="P117" s="54"/>
      <c r="Q117" s="54"/>
      <c r="R117" s="54"/>
      <c r="S117" s="54"/>
      <c r="T117" s="42"/>
      <c r="U117" s="42"/>
      <c r="V117" s="42"/>
      <c r="W117" s="42"/>
      <c r="X117" s="42"/>
      <c r="Y117" s="42"/>
      <c r="Z117" s="42"/>
      <c r="AA117" s="42"/>
      <c r="AB117" s="42"/>
      <c r="AC117" s="42"/>
      <c r="AD117" s="42"/>
      <c r="AE117" s="42"/>
      <c r="AF117" s="42"/>
      <c r="AG117" s="42"/>
      <c r="AH117" s="42"/>
      <c r="AI117" s="42"/>
      <c r="AJ117" s="42"/>
      <c r="AK117" s="42"/>
    </row>
    <row r="118" spans="1:37" ht="14.25" hidden="1" customHeight="1" x14ac:dyDescent="0.2">
      <c r="A118" s="42"/>
      <c r="B118" s="301"/>
      <c r="C118" s="302"/>
      <c r="D118" s="302"/>
      <c r="E118" s="303"/>
      <c r="F118" s="301"/>
      <c r="G118" s="302"/>
      <c r="H118" s="302"/>
      <c r="I118" s="302"/>
      <c r="J118" s="302"/>
      <c r="K118" s="303"/>
      <c r="M118" s="173"/>
      <c r="N118" s="54"/>
      <c r="O118" s="54"/>
      <c r="P118" s="54"/>
      <c r="Q118" s="54"/>
      <c r="R118" s="54"/>
      <c r="S118" s="54"/>
      <c r="T118" s="42"/>
      <c r="U118" s="42"/>
      <c r="V118" s="42"/>
      <c r="W118" s="42"/>
      <c r="X118" s="42"/>
      <c r="Y118" s="42"/>
      <c r="Z118" s="42"/>
      <c r="AA118" s="42"/>
      <c r="AB118" s="42"/>
      <c r="AC118" s="42"/>
      <c r="AD118" s="42"/>
      <c r="AE118" s="42"/>
      <c r="AF118" s="42"/>
      <c r="AG118" s="42"/>
      <c r="AH118" s="42"/>
      <c r="AI118" s="42"/>
      <c r="AJ118" s="42"/>
      <c r="AK118" s="42"/>
    </row>
    <row r="119" spans="1:37" ht="14.25" hidden="1" customHeight="1" x14ac:dyDescent="0.2">
      <c r="A119" s="42"/>
      <c r="B119" s="301"/>
      <c r="C119" s="302"/>
      <c r="D119" s="302"/>
      <c r="E119" s="303"/>
      <c r="F119" s="301"/>
      <c r="G119" s="302"/>
      <c r="H119" s="302"/>
      <c r="I119" s="302"/>
      <c r="J119" s="302"/>
      <c r="K119" s="303"/>
      <c r="M119" s="173"/>
      <c r="N119" s="54"/>
      <c r="O119" s="54"/>
      <c r="P119" s="54"/>
      <c r="Q119" s="54"/>
      <c r="R119" s="54"/>
      <c r="S119" s="54"/>
      <c r="T119" s="42"/>
      <c r="U119" s="42"/>
      <c r="V119" s="42"/>
      <c r="W119" s="42"/>
      <c r="X119" s="42"/>
      <c r="Y119" s="42"/>
      <c r="Z119" s="42"/>
      <c r="AA119" s="42"/>
      <c r="AB119" s="42"/>
      <c r="AC119" s="42"/>
      <c r="AD119" s="42"/>
      <c r="AE119" s="42"/>
      <c r="AF119" s="42"/>
      <c r="AG119" s="42"/>
      <c r="AH119" s="42"/>
      <c r="AI119" s="42"/>
      <c r="AJ119" s="42"/>
      <c r="AK119" s="42"/>
    </row>
    <row r="120" spans="1:37" ht="14.25" hidden="1" customHeight="1" x14ac:dyDescent="0.2">
      <c r="A120" s="42"/>
      <c r="B120" s="301"/>
      <c r="C120" s="302"/>
      <c r="D120" s="302"/>
      <c r="E120" s="303"/>
      <c r="F120" s="301"/>
      <c r="G120" s="302"/>
      <c r="H120" s="302"/>
      <c r="I120" s="302"/>
      <c r="J120" s="302"/>
      <c r="K120" s="303"/>
      <c r="M120" s="173"/>
      <c r="N120" s="54"/>
      <c r="O120" s="54"/>
      <c r="P120" s="54"/>
      <c r="Q120" s="54"/>
      <c r="R120" s="54"/>
      <c r="S120" s="54"/>
      <c r="T120" s="42"/>
      <c r="U120" s="42"/>
      <c r="V120" s="42"/>
      <c r="W120" s="42"/>
      <c r="X120" s="42"/>
      <c r="Y120" s="42"/>
      <c r="Z120" s="42"/>
      <c r="AA120" s="42"/>
      <c r="AB120" s="42"/>
      <c r="AC120" s="42"/>
      <c r="AD120" s="42"/>
      <c r="AE120" s="42"/>
      <c r="AF120" s="42"/>
      <c r="AG120" s="42"/>
      <c r="AH120" s="42"/>
      <c r="AI120" s="42"/>
      <c r="AJ120" s="42"/>
      <c r="AK120" s="42"/>
    </row>
    <row r="121" spans="1:37" ht="14.25" hidden="1" customHeight="1" x14ac:dyDescent="0.2">
      <c r="A121" s="42"/>
      <c r="B121" s="301"/>
      <c r="C121" s="302"/>
      <c r="D121" s="302"/>
      <c r="E121" s="303"/>
      <c r="F121" s="301"/>
      <c r="G121" s="302"/>
      <c r="H121" s="302"/>
      <c r="I121" s="302"/>
      <c r="J121" s="302"/>
      <c r="K121" s="303"/>
      <c r="M121" s="173"/>
      <c r="N121" s="54"/>
      <c r="O121" s="54"/>
      <c r="P121" s="54"/>
      <c r="Q121" s="54"/>
      <c r="R121" s="54"/>
      <c r="S121" s="54"/>
    </row>
    <row r="122" spans="1:37" ht="14.25" hidden="1" customHeight="1" x14ac:dyDescent="0.2">
      <c r="A122" s="54"/>
      <c r="B122" s="301"/>
      <c r="C122" s="302"/>
      <c r="D122" s="302"/>
      <c r="E122" s="303"/>
      <c r="F122" s="301"/>
      <c r="G122" s="302"/>
      <c r="H122" s="302"/>
      <c r="I122" s="302"/>
      <c r="J122" s="302"/>
      <c r="K122" s="303"/>
      <c r="M122" s="173"/>
    </row>
    <row r="123" spans="1:37" ht="14.25" hidden="1" customHeight="1" x14ac:dyDescent="0.2">
      <c r="A123" s="54"/>
      <c r="B123" s="301"/>
      <c r="C123" s="302"/>
      <c r="D123" s="302"/>
      <c r="E123" s="303"/>
      <c r="F123" s="301"/>
      <c r="G123" s="302"/>
      <c r="H123" s="302"/>
      <c r="I123" s="302"/>
      <c r="J123" s="302"/>
      <c r="K123" s="303"/>
      <c r="M123" s="173"/>
    </row>
    <row r="124" spans="1:37" ht="14.25" hidden="1" customHeight="1" x14ac:dyDescent="0.2">
      <c r="A124" s="54"/>
      <c r="B124" s="301"/>
      <c r="C124" s="302"/>
      <c r="D124" s="302"/>
      <c r="E124" s="303"/>
      <c r="F124" s="301"/>
      <c r="G124" s="302"/>
      <c r="H124" s="302"/>
      <c r="I124" s="302"/>
      <c r="J124" s="302"/>
      <c r="K124" s="303"/>
      <c r="M124" s="173"/>
    </row>
    <row r="125" spans="1:37" ht="14.25" hidden="1" customHeight="1" x14ac:dyDescent="0.2">
      <c r="A125" s="54"/>
      <c r="B125" s="301"/>
      <c r="C125" s="302"/>
      <c r="D125" s="302"/>
      <c r="E125" s="303"/>
      <c r="F125" s="301"/>
      <c r="G125" s="302"/>
      <c r="H125" s="302"/>
      <c r="I125" s="302"/>
      <c r="J125" s="302"/>
      <c r="K125" s="303"/>
      <c r="M125" s="173"/>
    </row>
    <row r="126" spans="1:37" ht="14.25" hidden="1" customHeight="1" x14ac:dyDescent="0.2">
      <c r="A126" s="54"/>
      <c r="B126" s="301"/>
      <c r="C126" s="302"/>
      <c r="D126" s="302"/>
      <c r="E126" s="303"/>
      <c r="F126" s="301"/>
      <c r="G126" s="302"/>
      <c r="H126" s="302"/>
      <c r="I126" s="302"/>
      <c r="J126" s="302"/>
      <c r="K126" s="303"/>
      <c r="M126" s="173"/>
    </row>
    <row r="127" spans="1:37" ht="14.25" hidden="1" customHeight="1" x14ac:dyDescent="0.2">
      <c r="A127" s="54"/>
      <c r="B127" s="301"/>
      <c r="C127" s="302"/>
      <c r="D127" s="302"/>
      <c r="E127" s="303"/>
      <c r="F127" s="301"/>
      <c r="G127" s="302"/>
      <c r="H127" s="302"/>
      <c r="I127" s="302"/>
      <c r="J127" s="302"/>
      <c r="K127" s="303"/>
      <c r="M127" s="173"/>
    </row>
    <row r="128" spans="1:37" ht="14.25" hidden="1" customHeight="1" x14ac:dyDescent="0.2">
      <c r="A128" s="54"/>
      <c r="B128" s="301"/>
      <c r="C128" s="302"/>
      <c r="D128" s="302"/>
      <c r="E128" s="303"/>
      <c r="F128" s="301"/>
      <c r="G128" s="302"/>
      <c r="H128" s="302"/>
      <c r="I128" s="302"/>
      <c r="J128" s="302"/>
      <c r="K128" s="303"/>
      <c r="M128" s="173"/>
    </row>
    <row r="129" spans="1:13" ht="14.25" hidden="1" customHeight="1" x14ac:dyDescent="0.2">
      <c r="A129" s="54"/>
      <c r="B129" s="301"/>
      <c r="C129" s="302"/>
      <c r="D129" s="302"/>
      <c r="E129" s="303"/>
      <c r="F129" s="301"/>
      <c r="G129" s="302"/>
      <c r="H129" s="302"/>
      <c r="I129" s="302"/>
      <c r="J129" s="302"/>
      <c r="K129" s="303"/>
      <c r="M129" s="173"/>
    </row>
    <row r="130" spans="1:13" ht="14.25" hidden="1" customHeight="1" x14ac:dyDescent="0.2">
      <c r="A130" s="54"/>
      <c r="B130" s="301"/>
      <c r="C130" s="302"/>
      <c r="D130" s="302"/>
      <c r="E130" s="303"/>
      <c r="F130" s="301"/>
      <c r="G130" s="302"/>
      <c r="H130" s="302"/>
      <c r="I130" s="302"/>
      <c r="J130" s="302"/>
      <c r="K130" s="303"/>
      <c r="M130" s="173"/>
    </row>
    <row r="131" spans="1:13" ht="14.25" hidden="1" customHeight="1" x14ac:dyDescent="0.2">
      <c r="A131" s="54"/>
      <c r="B131" s="301"/>
      <c r="C131" s="302"/>
      <c r="D131" s="302"/>
      <c r="E131" s="303"/>
      <c r="F131" s="301"/>
      <c r="G131" s="302"/>
      <c r="H131" s="302"/>
      <c r="I131" s="302"/>
      <c r="J131" s="302"/>
      <c r="K131" s="303"/>
      <c r="M131" s="173"/>
    </row>
    <row r="132" spans="1:13" ht="14.25" hidden="1" customHeight="1" x14ac:dyDescent="0.2">
      <c r="B132" s="301"/>
      <c r="C132" s="302"/>
      <c r="D132" s="302"/>
      <c r="E132" s="303"/>
      <c r="F132" s="301"/>
      <c r="G132" s="302"/>
      <c r="H132" s="302"/>
      <c r="I132" s="302"/>
      <c r="J132" s="302"/>
      <c r="K132" s="303"/>
      <c r="M132" s="173"/>
    </row>
    <row r="133" spans="1:13" ht="14.25" hidden="1" customHeight="1" x14ac:dyDescent="0.2">
      <c r="B133" s="301"/>
      <c r="C133" s="302"/>
      <c r="D133" s="302"/>
      <c r="E133" s="303"/>
      <c r="F133" s="301"/>
      <c r="G133" s="302"/>
      <c r="H133" s="302"/>
      <c r="I133" s="302"/>
      <c r="J133" s="302"/>
      <c r="K133" s="303"/>
      <c r="M133" s="173"/>
    </row>
    <row r="134" spans="1:13" ht="14.25" hidden="1" customHeight="1" x14ac:dyDescent="0.2">
      <c r="B134" s="301"/>
      <c r="C134" s="302"/>
      <c r="D134" s="302"/>
      <c r="E134" s="303"/>
      <c r="F134" s="301"/>
      <c r="G134" s="302"/>
      <c r="H134" s="302"/>
      <c r="I134" s="302"/>
      <c r="J134" s="302"/>
      <c r="K134" s="303"/>
    </row>
    <row r="135" spans="1:13" ht="14.25" hidden="1" customHeight="1" x14ac:dyDescent="0.2">
      <c r="B135" s="301"/>
      <c r="C135" s="302"/>
      <c r="D135" s="302"/>
      <c r="E135" s="303"/>
      <c r="F135" s="301"/>
      <c r="G135" s="302"/>
      <c r="H135" s="302"/>
      <c r="I135" s="302"/>
      <c r="J135" s="302"/>
      <c r="K135" s="303"/>
    </row>
    <row r="136" spans="1:13" ht="14.25" hidden="1" customHeight="1" x14ac:dyDescent="0.2">
      <c r="B136" s="301"/>
      <c r="C136" s="302"/>
      <c r="D136" s="302"/>
      <c r="E136" s="303"/>
      <c r="F136" s="301"/>
      <c r="G136" s="302"/>
      <c r="H136" s="302"/>
      <c r="I136" s="302"/>
      <c r="J136" s="302"/>
      <c r="K136" s="303"/>
    </row>
    <row r="137" spans="1:13" ht="14.25" hidden="1" customHeight="1" x14ac:dyDescent="0.2">
      <c r="B137" s="301"/>
      <c r="C137" s="302"/>
      <c r="D137" s="302"/>
      <c r="E137" s="303"/>
      <c r="F137" s="301"/>
      <c r="G137" s="302"/>
      <c r="H137" s="302"/>
      <c r="I137" s="302"/>
      <c r="J137" s="302"/>
      <c r="K137" s="303"/>
    </row>
    <row r="138" spans="1:13" ht="14.25" hidden="1" customHeight="1" x14ac:dyDescent="0.2">
      <c r="B138" s="301"/>
      <c r="C138" s="302"/>
      <c r="D138" s="302"/>
      <c r="E138" s="303"/>
      <c r="F138" s="301"/>
      <c r="G138" s="302"/>
      <c r="H138" s="302"/>
      <c r="I138" s="302"/>
      <c r="J138" s="302"/>
      <c r="K138" s="303"/>
    </row>
    <row r="139" spans="1:13" ht="14.25" hidden="1" customHeight="1" x14ac:dyDescent="0.2">
      <c r="B139" s="301"/>
      <c r="C139" s="302"/>
      <c r="D139" s="302"/>
      <c r="E139" s="303"/>
      <c r="F139" s="301"/>
      <c r="G139" s="302"/>
      <c r="H139" s="302"/>
      <c r="I139" s="302"/>
      <c r="J139" s="302"/>
      <c r="K139" s="303"/>
    </row>
    <row r="140" spans="1:13" ht="14.25" hidden="1" customHeight="1" x14ac:dyDescent="0.2">
      <c r="B140" s="301"/>
      <c r="C140" s="302"/>
      <c r="D140" s="302"/>
      <c r="E140" s="303"/>
      <c r="F140" s="301"/>
      <c r="G140" s="302"/>
      <c r="H140" s="302"/>
      <c r="I140" s="302"/>
      <c r="J140" s="302"/>
      <c r="K140" s="303"/>
    </row>
    <row r="141" spans="1:13" ht="14.25" hidden="1" customHeight="1" x14ac:dyDescent="0.2">
      <c r="B141" s="301"/>
      <c r="C141" s="302"/>
      <c r="D141" s="302"/>
      <c r="E141" s="303"/>
      <c r="F141" s="301"/>
      <c r="G141" s="302"/>
      <c r="H141" s="302"/>
      <c r="I141" s="302"/>
      <c r="J141" s="302"/>
      <c r="K141" s="303"/>
    </row>
    <row r="142" spans="1:13" ht="14.25" hidden="1" customHeight="1" x14ac:dyDescent="0.2">
      <c r="B142" s="301"/>
      <c r="C142" s="302"/>
      <c r="D142" s="302"/>
      <c r="E142" s="303"/>
      <c r="F142" s="301"/>
      <c r="G142" s="302"/>
      <c r="H142" s="302"/>
      <c r="I142" s="302"/>
      <c r="J142" s="302"/>
      <c r="K142" s="303"/>
    </row>
    <row r="143" spans="1:13" ht="14.25" hidden="1" customHeight="1" x14ac:dyDescent="0.2">
      <c r="B143" s="301"/>
      <c r="C143" s="302"/>
      <c r="D143" s="302"/>
      <c r="E143" s="303"/>
      <c r="F143" s="301"/>
      <c r="G143" s="302"/>
      <c r="H143" s="302"/>
      <c r="I143" s="302"/>
      <c r="J143" s="302"/>
      <c r="K143" s="303"/>
    </row>
    <row r="144" spans="1:13" x14ac:dyDescent="0.2">
      <c r="B144" s="301"/>
      <c r="C144" s="302"/>
      <c r="D144" s="302"/>
      <c r="E144" s="303"/>
      <c r="F144" s="301"/>
      <c r="G144" s="302"/>
      <c r="H144" s="302"/>
      <c r="I144" s="302"/>
      <c r="J144" s="302"/>
      <c r="K144" s="303"/>
    </row>
    <row r="145" spans="2:11" ht="15" thickBot="1" x14ac:dyDescent="0.25">
      <c r="B145" s="304"/>
      <c r="C145" s="307"/>
      <c r="D145" s="307"/>
      <c r="E145" s="306"/>
      <c r="F145" s="304"/>
      <c r="G145" s="305"/>
      <c r="H145" s="305"/>
      <c r="I145" s="305"/>
      <c r="J145" s="305"/>
      <c r="K145" s="306"/>
    </row>
    <row r="146" spans="2:11" x14ac:dyDescent="0.2"/>
    <row r="147" spans="2:11" x14ac:dyDescent="0.2"/>
  </sheetData>
  <sheetProtection algorithmName="SHA-512" hashValue="EFUZqkVM6a7LRmSaGJ4gDOqr/XA+fj9qalUdqOE0vk57MC8EAe1uFynzblhlCgOwmuhH0vfiNcLHDMnJU/6pFQ==" saltValue="Ck1peofe97GrWxqlsxCYog==" spinCount="100000" sheet="1" objects="1" scenarios="1"/>
  <mergeCells count="124">
    <mergeCell ref="G72:G75"/>
    <mergeCell ref="H72:H75"/>
    <mergeCell ref="K72:K75"/>
    <mergeCell ref="J70:J71"/>
    <mergeCell ref="K70:K71"/>
    <mergeCell ref="G30:I30"/>
    <mergeCell ref="C53:D53"/>
    <mergeCell ref="C40:D40"/>
    <mergeCell ref="C41:D41"/>
    <mergeCell ref="G38:I38"/>
    <mergeCell ref="G39:I39"/>
    <mergeCell ref="H70:H71"/>
    <mergeCell ref="I70:I71"/>
    <mergeCell ref="G56:K56"/>
    <mergeCell ref="C52:D52"/>
    <mergeCell ref="G67:H67"/>
    <mergeCell ref="F57:K62"/>
    <mergeCell ref="B57:E62"/>
    <mergeCell ref="B64:C64"/>
    <mergeCell ref="B70:B71"/>
    <mergeCell ref="C70:C71"/>
    <mergeCell ref="D70:D71"/>
    <mergeCell ref="E70:E71"/>
    <mergeCell ref="F70:F71"/>
    <mergeCell ref="G70:G71"/>
    <mergeCell ref="D68:E68"/>
    <mergeCell ref="D67:E67"/>
    <mergeCell ref="G68:H68"/>
    <mergeCell ref="B65:K65"/>
    <mergeCell ref="G2:I2"/>
    <mergeCell ref="B14:D14"/>
    <mergeCell ref="C15:D15"/>
    <mergeCell ref="C16:D16"/>
    <mergeCell ref="C17:D17"/>
    <mergeCell ref="C18:D18"/>
    <mergeCell ref="C19:D19"/>
    <mergeCell ref="B2:D2"/>
    <mergeCell ref="C8:D8"/>
    <mergeCell ref="C3:D3"/>
    <mergeCell ref="C4:D4"/>
    <mergeCell ref="C5:D5"/>
    <mergeCell ref="C6:D6"/>
    <mergeCell ref="C7:D7"/>
    <mergeCell ref="C22:D22"/>
    <mergeCell ref="C23:D23"/>
    <mergeCell ref="B21:D21"/>
    <mergeCell ref="B26:D26"/>
    <mergeCell ref="B27:D27"/>
    <mergeCell ref="B29:D29"/>
    <mergeCell ref="E15:F19"/>
    <mergeCell ref="B33:D33"/>
    <mergeCell ref="B32:D32"/>
    <mergeCell ref="J76:J79"/>
    <mergeCell ref="I76:I79"/>
    <mergeCell ref="B93:B96"/>
    <mergeCell ref="C93:C96"/>
    <mergeCell ref="D93:D96"/>
    <mergeCell ref="E93:E96"/>
    <mergeCell ref="F93:F96"/>
    <mergeCell ref="D91:E91"/>
    <mergeCell ref="I72:I75"/>
    <mergeCell ref="I80:I83"/>
    <mergeCell ref="B84:B87"/>
    <mergeCell ref="C84:C87"/>
    <mergeCell ref="D84:D87"/>
    <mergeCell ref="E84:E87"/>
    <mergeCell ref="F84:F87"/>
    <mergeCell ref="B72:B75"/>
    <mergeCell ref="C72:C75"/>
    <mergeCell ref="H76:H79"/>
    <mergeCell ref="G76:G79"/>
    <mergeCell ref="B76:B79"/>
    <mergeCell ref="C76:C79"/>
    <mergeCell ref="D76:D79"/>
    <mergeCell ref="E76:E79"/>
    <mergeCell ref="F76:F79"/>
    <mergeCell ref="B80:B83"/>
    <mergeCell ref="C80:C83"/>
    <mergeCell ref="D80:D83"/>
    <mergeCell ref="E80:E83"/>
    <mergeCell ref="G34:I34"/>
    <mergeCell ref="C36:D36"/>
    <mergeCell ref="C37:D37"/>
    <mergeCell ref="C48:D48"/>
    <mergeCell ref="C49:D49"/>
    <mergeCell ref="C46:D46"/>
    <mergeCell ref="C47:D47"/>
    <mergeCell ref="C50:D50"/>
    <mergeCell ref="C51:D51"/>
    <mergeCell ref="C42:D42"/>
    <mergeCell ref="C38:D38"/>
    <mergeCell ref="C39:D39"/>
    <mergeCell ref="B35:D35"/>
    <mergeCell ref="B45:D45"/>
    <mergeCell ref="C43:D43"/>
    <mergeCell ref="C54:D54"/>
    <mergeCell ref="B56:F56"/>
    <mergeCell ref="D72:D75"/>
    <mergeCell ref="E72:E75"/>
    <mergeCell ref="F72:F75"/>
    <mergeCell ref="K76:K79"/>
    <mergeCell ref="K84:K87"/>
    <mergeCell ref="B91:C91"/>
    <mergeCell ref="F91:F92"/>
    <mergeCell ref="G84:G87"/>
    <mergeCell ref="H84:H87"/>
    <mergeCell ref="I84:I87"/>
    <mergeCell ref="J72:J75"/>
    <mergeCell ref="F100:K145"/>
    <mergeCell ref="B100:E145"/>
    <mergeCell ref="G99:K99"/>
    <mergeCell ref="B99:F99"/>
    <mergeCell ref="F80:F83"/>
    <mergeCell ref="G80:G83"/>
    <mergeCell ref="H80:H83"/>
    <mergeCell ref="J84:J87"/>
    <mergeCell ref="G91:H92"/>
    <mergeCell ref="G93:H96"/>
    <mergeCell ref="D97:E97"/>
    <mergeCell ref="I91:K97"/>
    <mergeCell ref="B97:C97"/>
    <mergeCell ref="F97:H97"/>
    <mergeCell ref="J80:J83"/>
    <mergeCell ref="K80:K83"/>
  </mergeCells>
  <conditionalFormatting sqref="I13:I15">
    <cfRule type="expression" dxfId="92" priority="249">
      <formula>OR($I$12="No",$I$12="")</formula>
    </cfRule>
  </conditionalFormatting>
  <conditionalFormatting sqref="H13:H15">
    <cfRule type="expression" dxfId="91" priority="248">
      <formula>OR($H$12="No",$H$12="")</formula>
    </cfRule>
  </conditionalFormatting>
  <conditionalFormatting sqref="I18:I20">
    <cfRule type="expression" dxfId="90" priority="256">
      <formula>OR($I$17="No",$I$17="")</formula>
    </cfRule>
  </conditionalFormatting>
  <conditionalFormatting sqref="C41">
    <cfRule type="containsText" dxfId="89" priority="109" operator="containsText" text="Additional sealing required">
      <formula>NOT(ISERROR(SEARCH("Additional sealing required",C41)))</formula>
    </cfRule>
    <cfRule type="containsText" dxfId="88" priority="110" operator="containsText" text="Meets program requirements">
      <formula>NOT(ISERROR(SEARCH("Meets program requirements",C41)))</formula>
    </cfRule>
  </conditionalFormatting>
  <conditionalFormatting sqref="C42">
    <cfRule type="containsText" dxfId="87" priority="107" operator="containsText" text="Additional sealing required">
      <formula>NOT(ISERROR(SEARCH("Additional sealing required",C42)))</formula>
    </cfRule>
    <cfRule type="containsText" dxfId="86" priority="108" operator="containsText" text="Meets program requirements">
      <formula>NOT(ISERROR(SEARCH("Meets program requirements",C42)))</formula>
    </cfRule>
  </conditionalFormatting>
  <conditionalFormatting sqref="C53 H55 G52">
    <cfRule type="containsText" dxfId="85" priority="99" operator="containsText" text="Additional sealing required">
      <formula>NOT(ISERROR(SEARCH("Additional sealing required",C52)))</formula>
    </cfRule>
    <cfRule type="containsText" dxfId="84" priority="100" operator="containsText" text="Meets program requirements!">
      <formula>NOT(ISERROR(SEARCH("Meets program requirements!",C52)))</formula>
    </cfRule>
  </conditionalFormatting>
  <conditionalFormatting sqref="C52">
    <cfRule type="containsText" dxfId="83" priority="101" operator="containsText" text="Additional sealing required">
      <formula>NOT(ISERROR(SEARCH("Additional sealing required",C52)))</formula>
    </cfRule>
    <cfRule type="containsText" dxfId="82" priority="102" operator="containsText" text="Meets program requirements">
      <formula>NOT(ISERROR(SEARCH("Meets program requirements",C52)))</formula>
    </cfRule>
  </conditionalFormatting>
  <conditionalFormatting sqref="R78">
    <cfRule type="containsText" dxfId="81" priority="77" operator="containsText" text="Fail">
      <formula>NOT(ISERROR(SEARCH("Fail",R78)))</formula>
    </cfRule>
    <cfRule type="containsText" dxfId="80" priority="78" operator="containsText" text="Recommend">
      <formula>NOT(ISERROR(SEARCH("Recommend",R78)))</formula>
    </cfRule>
  </conditionalFormatting>
  <conditionalFormatting sqref="R77">
    <cfRule type="containsText" dxfId="79" priority="75" operator="containsText" text="Fail">
      <formula>NOT(ISERROR(SEARCH("Fail",R77)))</formula>
    </cfRule>
    <cfRule type="containsText" dxfId="78" priority="76" operator="containsText" text="Recommend">
      <formula>NOT(ISERROR(SEARCH("Recommend",R77)))</formula>
    </cfRule>
  </conditionalFormatting>
  <conditionalFormatting sqref="J76 J80 J84 J72">
    <cfRule type="containsText" dxfId="77" priority="59" operator="containsText" text="FAIL">
      <formula>NOT(ISERROR(SEARCH("FAIL",J72)))</formula>
    </cfRule>
  </conditionalFormatting>
  <conditionalFormatting sqref="K72 K76 K80 K84">
    <cfRule type="containsText" dxfId="76" priority="52" operator="containsText" text="Fail">
      <formula>NOT(ISERROR(SEARCH("Fail",K72)))</formula>
    </cfRule>
    <cfRule type="containsText" dxfId="75" priority="53" operator="containsText" text="Recommend">
      <formula>NOT(ISERROR(SEARCH("Recommend",K72)))</formula>
    </cfRule>
  </conditionalFormatting>
  <conditionalFormatting sqref="K72 K76 K80 K84">
    <cfRule type="containsText" dxfId="74" priority="54" operator="containsText" text="pass">
      <formula>NOT(ISERROR(SEARCH("pass",K72)))</formula>
    </cfRule>
  </conditionalFormatting>
  <conditionalFormatting sqref="G93">
    <cfRule type="containsText" dxfId="73" priority="35" operator="containsText" text="fail">
      <formula>NOT(ISERROR(SEARCH("fail",G93)))</formula>
    </cfRule>
    <cfRule type="containsText" dxfId="72" priority="36" operator="containsText" text="must be serviced">
      <formula>NOT(ISERROR(SEARCH("must be serviced",G93)))</formula>
    </cfRule>
    <cfRule type="containsText" dxfId="71" priority="39" operator="containsText" text="recommendation">
      <formula>NOT(ISERROR(SEARCH("recommendation",G93)))</formula>
    </cfRule>
    <cfRule type="containsText" dxfId="70" priority="41" operator="containsText" text="Recommend">
      <formula>NOT(ISERROR(SEARCH("Recommend",G93)))</formula>
    </cfRule>
  </conditionalFormatting>
  <conditionalFormatting sqref="G93">
    <cfRule type="containsText" dxfId="69" priority="38" operator="containsText" text="specify appropriate measures">
      <formula>NOT(ISERROR(SEARCH("specify appropriate measures",G93)))</formula>
    </cfRule>
    <cfRule type="containsText" dxfId="68" priority="42" operator="containsText" text="pass">
      <formula>NOT(ISERROR(SEARCH("pass",G93)))</formula>
    </cfRule>
  </conditionalFormatting>
  <conditionalFormatting sqref="I23:I25">
    <cfRule type="expression" dxfId="67" priority="25">
      <formula>OR($I$22="No",$I$22="")</formula>
    </cfRule>
  </conditionalFormatting>
  <conditionalFormatting sqref="H23:H25">
    <cfRule type="expression" dxfId="66" priority="24">
      <formula>OR($H$22="No",$H$22="")</formula>
    </cfRule>
  </conditionalFormatting>
  <conditionalFormatting sqref="D97">
    <cfRule type="containsText" dxfId="65" priority="17" operator="containsText" text="FAIL">
      <formula>NOT(ISERROR(SEARCH("FAIL",D97)))</formula>
    </cfRule>
    <cfRule type="containsText" dxfId="64" priority="18" operator="containsText" text="PASS">
      <formula>NOT(ISERROR(SEARCH("PASS",D97)))</formula>
    </cfRule>
  </conditionalFormatting>
  <conditionalFormatting sqref="H18:H20">
    <cfRule type="expression" dxfId="63" priority="265">
      <formula>OR($H$17="No",$H$17="")</formula>
    </cfRule>
  </conditionalFormatting>
  <conditionalFormatting sqref="B27">
    <cfRule type="containsText" dxfId="62" priority="14" operator="containsText" text="Additional Sealing Required">
      <formula>NOT(ISERROR(SEARCH("Additional Sealing Required",B27)))</formula>
    </cfRule>
  </conditionalFormatting>
  <conditionalFormatting sqref="C15:D15">
    <cfRule type="expression" dxfId="61" priority="12">
      <formula>E15="Only homes built in 2001 or earlier are eligible for BayREN Home+ rebates"</formula>
    </cfRule>
  </conditionalFormatting>
  <conditionalFormatting sqref="C16:D16">
    <cfRule type="expression" dxfId="60" priority="11">
      <formula>E15="Only homes built in 2001 or earlier are eligible for BayREN Home+ rebates"</formula>
    </cfRule>
  </conditionalFormatting>
  <conditionalFormatting sqref="C17:D17">
    <cfRule type="expression" dxfId="59" priority="10">
      <formula>E15="Only homes built in 2001 or earlier are eligible for BayREN Home+ rebates"</formula>
    </cfRule>
  </conditionalFormatting>
  <conditionalFormatting sqref="C18:D18">
    <cfRule type="expression" dxfId="58" priority="9">
      <formula>E15="Only homes built in 2001 or earlier are eligible for BayREN Home+ rebates"</formula>
    </cfRule>
  </conditionalFormatting>
  <conditionalFormatting sqref="C19:D19">
    <cfRule type="expression" dxfId="57" priority="8">
      <formula>E15="Only homes built in 2001 or earlier are eligible for BayREN Home+ rebates"</formula>
    </cfRule>
  </conditionalFormatting>
  <conditionalFormatting sqref="B27:D27">
    <cfRule type="containsText" dxfId="56" priority="7" operator="containsText" text="Meets Program Requirements">
      <formula>NOT(ISERROR(SEARCH("Meets Program Requirements",B27)))</formula>
    </cfRule>
  </conditionalFormatting>
  <conditionalFormatting sqref="B33:D33">
    <cfRule type="cellIs" dxfId="55" priority="5" operator="equal">
      <formula>"Additional Sealing Required"</formula>
    </cfRule>
    <cfRule type="containsText" dxfId="54" priority="6" operator="containsText" text="Meets Program Requirements">
      <formula>NOT(ISERROR(SEARCH("Meets Program Requirements",B33)))</formula>
    </cfRule>
  </conditionalFormatting>
  <conditionalFormatting sqref="C43">
    <cfRule type="containsText" dxfId="53" priority="3" operator="containsText" text="Additional sealing required">
      <formula>NOT(ISERROR(SEARCH("Additional sealing required",C43)))</formula>
    </cfRule>
    <cfRule type="containsText" dxfId="52" priority="4" operator="containsText" text="Meets program requirements">
      <formula>NOT(ISERROR(SEARCH("Meets program requirements",C43)))</formula>
    </cfRule>
  </conditionalFormatting>
  <conditionalFormatting sqref="C54">
    <cfRule type="containsText" dxfId="51" priority="1" operator="containsText" text="Additional sealing required">
      <formula>NOT(ISERROR(SEARCH("Additional sealing required",C54)))</formula>
    </cfRule>
    <cfRule type="containsText" dxfId="50" priority="2" operator="containsText" text="Meets program requirements!">
      <formula>NOT(ISERROR(SEARCH("Meets program requirements!",C54)))</formula>
    </cfRule>
  </conditionalFormatting>
  <dataValidations count="11">
    <dataValidation type="list" allowBlank="1" showInputMessage="1" showErrorMessage="1" sqref="H4:I4 H12:I13 H17:I18 H15:I15 H20:I20 H10:I10 H6:I6 H22:I23 H8:I8 H25:I25" xr:uid="{00000000-0002-0000-0100-000000000000}">
      <formula1>"Yes,No"</formula1>
    </dataValidation>
    <dataValidation type="list" allowBlank="1" showInputMessage="1" showErrorMessage="1" sqref="F93 J76 J80 J84 J72" xr:uid="{00000000-0002-0000-0100-000001000000}">
      <formula1>"Select One, PASS, FAIL"</formula1>
    </dataValidation>
    <dataValidation type="list" allowBlank="1" showErrorMessage="1" promptTitle="CAZ" prompt="Please select a CAZ zone for this appliance" sqref="B72 B76 B80 B84" xr:uid="{00000000-0002-0000-0100-000002000000}">
      <formula1>"Select One, CAZ-1, CAZ-2, CAZ-3, CAZ-4"</formula1>
    </dataValidation>
    <dataValidation type="list" allowBlank="1" showInputMessage="1" showErrorMessage="1" sqref="C72 C76 C80 C84" xr:uid="{00000000-0002-0000-0100-000003000000}">
      <formula1>"Select One, Conditioned Space, Indoor Closet, Outdoor Closet, Attached Garage, Unattached Garage, Attic, Basement, Crawlspace, Roof, Outdoors, Other"</formula1>
    </dataValidation>
    <dataValidation type="list" allowBlank="1" showInputMessage="1" showErrorMessage="1" sqref="D72 D76 D80 D84" xr:uid="{00000000-0002-0000-0100-000004000000}">
      <formula1>"Select One, Central Furnace, Water Heater, Boiler, Floor Furnace, Gravity Furnace, Wall Furnace (BIV), Wall Furnace (Direct Vent), Vented Room Heater, Unvented Room Heater, Other"</formula1>
    </dataValidation>
    <dataValidation type="list" allowBlank="1" showInputMessage="1" showErrorMessage="1" sqref="E72 E80 E76 E84" xr:uid="{00000000-0002-0000-0100-000005000000}">
      <formula1>"Select One, Natural Draft   (Cold Vent), Natural Draft (Warm Vent), Mechanically Assisted, Direct Vent, None"</formula1>
    </dataValidation>
    <dataValidation type="list" allowBlank="1" showErrorMessage="1" prompt="Did the system pass or fail the worst case spillage criterion?" sqref="F72 F80 F76 F84" xr:uid="{00000000-0002-0000-0100-000006000000}">
      <formula1>"Select One, PASS, FAIL, NA, Non-Op"</formula1>
    </dataValidation>
    <dataValidation type="list" showInputMessage="1" showErrorMessage="1" sqref="D97" xr:uid="{00000000-0002-0000-0100-000007000000}">
      <formula1>"Select One, PASS,FAIL"</formula1>
    </dataValidation>
    <dataValidation type="list" showInputMessage="1" showErrorMessage="1" sqref="G39" xr:uid="{00000000-0002-0000-0100-000008000000}">
      <formula1>"None,Bathroom exhaust fan, Kitchen exhaust fan,Heat recovery,Supply air to return ducts"</formula1>
    </dataValidation>
    <dataValidation type="list" showInputMessage="1" showErrorMessage="1" sqref="C18" xr:uid="{00000000-0002-0000-0100-000009000000}">
      <formula1>"1,2,3,4,5"</formula1>
    </dataValidation>
    <dataValidation type="list" showInputMessage="1" showErrorMessage="1" sqref="C19" xr:uid="{00000000-0002-0000-0100-00000A000000}">
      <formula1>"1,1.5,2,2.5,3"</formula1>
    </dataValidation>
  </dataValidations>
  <pageMargins left="0.2" right="0.2" top="0.25" bottom="0.25" header="0" footer="0"/>
  <pageSetup scale="49" fitToHeight="2" orientation="portrait" r:id="rId1"/>
  <headerFooter>
    <oddHeader>&amp;C&amp;A</oddHeader>
  </headerFooter>
  <ignoredErrors>
    <ignoredError sqref="E3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238125</xdr:colOff>
                    <xdr:row>66</xdr:row>
                    <xdr:rowOff>219075</xdr:rowOff>
                  </from>
                  <to>
                    <xdr:col>2</xdr:col>
                    <xdr:colOff>704850</xdr:colOff>
                    <xdr:row>68</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171450</xdr:colOff>
                    <xdr:row>67</xdr:row>
                    <xdr:rowOff>38100</xdr:rowOff>
                  </from>
                  <to>
                    <xdr:col>5</xdr:col>
                    <xdr:colOff>895350</xdr:colOff>
                    <xdr:row>67</xdr:row>
                    <xdr:rowOff>619125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8</xdr:col>
                    <xdr:colOff>180975</xdr:colOff>
                    <xdr:row>67</xdr:row>
                    <xdr:rowOff>219075</xdr:rowOff>
                  </from>
                  <to>
                    <xdr:col>8</xdr:col>
                    <xdr:colOff>981075</xdr:colOff>
                    <xdr:row>67</xdr:row>
                    <xdr:rowOff>428625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B000000}">
          <x14:formula1>
            <xm:f>'Appendix 1'!$J$5:$J$15</xm:f>
          </x14:formula1>
          <xm:sqref>G36</xm:sqref>
        </x14:dataValidation>
        <x14:dataValidation type="list" showInputMessage="1" showErrorMessage="1" xr:uid="{00000000-0002-0000-0100-00000C000000}">
          <x14:formula1>
            <xm:f>'Table 3'!$C$2:$C$4</xm:f>
          </x14:formula1>
          <xm:sqref>C37 C47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00B050"/>
  </sheetPr>
  <dimension ref="A1:H29"/>
  <sheetViews>
    <sheetView workbookViewId="0">
      <selection activeCell="C9" sqref="C9"/>
    </sheetView>
  </sheetViews>
  <sheetFormatPr defaultColWidth="0" defaultRowHeight="14.25" zeroHeight="1" x14ac:dyDescent="0.2"/>
  <cols>
    <col min="1" max="1" width="5.625" style="54" customWidth="1"/>
    <col min="2" max="2" width="25.125" style="54" customWidth="1"/>
    <col min="3" max="3" width="12.125" style="54" customWidth="1"/>
    <col min="4" max="4" width="12.625" style="54" bestFit="1" customWidth="1"/>
    <col min="5" max="5" width="17.5" style="54" bestFit="1" customWidth="1"/>
    <col min="6" max="6" width="24.625" style="54" customWidth="1"/>
    <col min="7" max="7" width="11.25" style="54" customWidth="1"/>
    <col min="8" max="8" width="5.625" style="54" customWidth="1"/>
    <col min="9" max="16384" width="9" hidden="1"/>
  </cols>
  <sheetData>
    <row r="1" spans="2:8" ht="15" thickBot="1" x14ac:dyDescent="0.25"/>
    <row r="2" spans="2:8" ht="15" x14ac:dyDescent="0.2">
      <c r="B2" s="434" t="s">
        <v>99</v>
      </c>
      <c r="C2" s="444"/>
      <c r="D2" s="445"/>
      <c r="E2" s="434" t="s">
        <v>100</v>
      </c>
      <c r="F2" s="446"/>
      <c r="G2" s="435"/>
      <c r="H2" s="198"/>
    </row>
    <row r="3" spans="2:8" ht="15" x14ac:dyDescent="0.2">
      <c r="B3" s="447" t="s">
        <v>1596</v>
      </c>
      <c r="C3" s="448"/>
      <c r="D3" s="195"/>
      <c r="E3" s="196" t="s">
        <v>1579</v>
      </c>
      <c r="F3" s="449">
        <f>SUM(D9,D11,D13,D15,D17,E9,E11,E13,E15, E17)</f>
        <v>0</v>
      </c>
      <c r="G3" s="450"/>
      <c r="H3" s="198"/>
    </row>
    <row r="4" spans="2:8" ht="15" x14ac:dyDescent="0.2">
      <c r="B4" s="447" t="s">
        <v>1595</v>
      </c>
      <c r="C4" s="448"/>
      <c r="D4" s="195"/>
      <c r="E4" s="196" t="s">
        <v>1586</v>
      </c>
      <c r="F4" s="451">
        <f>SUM($D$21,$D$25,$E$21,$E$25,$D$23)</f>
        <v>0</v>
      </c>
      <c r="G4" s="452"/>
      <c r="H4" s="198"/>
    </row>
    <row r="5" spans="2:8" ht="15.75" thickBot="1" x14ac:dyDescent="0.25">
      <c r="B5" s="430" t="s">
        <v>101</v>
      </c>
      <c r="C5" s="431"/>
      <c r="D5" s="214">
        <f>'Entry Sheet'!$C$15</f>
        <v>0</v>
      </c>
      <c r="E5" s="197" t="s">
        <v>1583</v>
      </c>
      <c r="F5" s="432" t="str">
        <f>IF(OR($D$3="Yes",$D$4="Yes"),IF($D$5="","Enter Year Constructed",IF($D$5&gt;=2017,"Not Eligible",SUM($F$3+$F$4))),"Not Eligible")</f>
        <v>Not Eligible</v>
      </c>
      <c r="G5" s="433"/>
      <c r="H5" s="198"/>
    </row>
    <row r="6" spans="2:8" ht="14.25" customHeight="1" x14ac:dyDescent="0.2">
      <c r="B6" s="438" t="s">
        <v>102</v>
      </c>
      <c r="C6" s="439"/>
      <c r="D6" s="439"/>
      <c r="E6" s="439"/>
      <c r="F6" s="439"/>
      <c r="G6" s="440"/>
      <c r="H6" s="198"/>
    </row>
    <row r="7" spans="2:8" ht="15" customHeight="1" thickBot="1" x14ac:dyDescent="0.25">
      <c r="B7" s="441" t="s">
        <v>1613</v>
      </c>
      <c r="C7" s="442"/>
      <c r="D7" s="442"/>
      <c r="E7" s="442"/>
      <c r="F7" s="442"/>
      <c r="G7" s="443"/>
      <c r="H7" s="198"/>
    </row>
    <row r="8" spans="2:8" ht="15" x14ac:dyDescent="0.2">
      <c r="B8" s="434" t="s">
        <v>1588</v>
      </c>
      <c r="C8" s="435"/>
      <c r="D8" s="251"/>
      <c r="E8" s="252"/>
      <c r="F8" s="434" t="s">
        <v>1580</v>
      </c>
      <c r="G8" s="435"/>
      <c r="H8" s="207"/>
    </row>
    <row r="9" spans="2:8" ht="28.5" x14ac:dyDescent="0.2">
      <c r="B9" s="243" t="s">
        <v>1592</v>
      </c>
      <c r="C9" s="244"/>
      <c r="D9" s="253">
        <f>IF($C$9&gt;1333,(1000),($C$9*0.75))</f>
        <v>0</v>
      </c>
      <c r="E9" s="254" t="str">
        <f>IF($G$9="Yes",300," ")</f>
        <v xml:space="preserve"> </v>
      </c>
      <c r="F9" s="176" t="s">
        <v>1604</v>
      </c>
      <c r="G9" s="245"/>
      <c r="H9" s="208"/>
    </row>
    <row r="10" spans="2:8" ht="15" x14ac:dyDescent="0.2">
      <c r="B10" s="436" t="s">
        <v>1589</v>
      </c>
      <c r="C10" s="437"/>
      <c r="D10" s="255"/>
      <c r="E10" s="256"/>
      <c r="F10" s="436" t="s">
        <v>104</v>
      </c>
      <c r="G10" s="437"/>
      <c r="H10" s="207" t="s">
        <v>1591</v>
      </c>
    </row>
    <row r="11" spans="2:8" ht="28.5" x14ac:dyDescent="0.2">
      <c r="B11" s="243" t="s">
        <v>1592</v>
      </c>
      <c r="C11" s="244"/>
      <c r="D11" s="257">
        <f>IF($C$11&gt;1429,(1000),($C$11*0.7))</f>
        <v>0</v>
      </c>
      <c r="E11" s="256" t="str">
        <f>IF($G$11="Yes",800," ")</f>
        <v xml:space="preserve"> </v>
      </c>
      <c r="F11" s="249" t="s">
        <v>1605</v>
      </c>
      <c r="G11" s="245"/>
      <c r="H11" s="209"/>
    </row>
    <row r="12" spans="2:8" ht="15" x14ac:dyDescent="0.2">
      <c r="B12" s="436" t="s">
        <v>1590</v>
      </c>
      <c r="C12" s="437"/>
      <c r="D12" s="255"/>
      <c r="E12" s="256"/>
      <c r="F12" s="436" t="s">
        <v>1621</v>
      </c>
      <c r="G12" s="437"/>
      <c r="H12" s="210"/>
    </row>
    <row r="13" spans="2:8" ht="29.25" x14ac:dyDescent="0.2">
      <c r="B13" s="241" t="s">
        <v>1611</v>
      </c>
      <c r="C13" s="245"/>
      <c r="D13" s="257" t="str">
        <f>IF($C$13="Yes",200," ")</f>
        <v xml:space="preserve"> </v>
      </c>
      <c r="E13" s="256" t="str">
        <f>IF($G$13="Yes",1000," ")</f>
        <v xml:space="preserve"> </v>
      </c>
      <c r="F13" s="249" t="s">
        <v>1606</v>
      </c>
      <c r="G13" s="245"/>
      <c r="H13" s="210"/>
    </row>
    <row r="14" spans="2:8" ht="15" x14ac:dyDescent="0.2">
      <c r="B14" s="436" t="s">
        <v>1581</v>
      </c>
      <c r="C14" s="437"/>
      <c r="D14" s="255"/>
      <c r="E14" s="256"/>
      <c r="F14" s="436" t="s">
        <v>1572</v>
      </c>
      <c r="G14" s="437"/>
      <c r="H14" s="207"/>
    </row>
    <row r="15" spans="2:8" ht="28.5" x14ac:dyDescent="0.2">
      <c r="B15" s="243" t="s">
        <v>1616</v>
      </c>
      <c r="C15" s="245"/>
      <c r="D15" s="257" t="str">
        <f>IF($C$15="Yes",400," ")</f>
        <v xml:space="preserve"> </v>
      </c>
      <c r="E15" s="256" t="str">
        <f>IF($G$15="Yes",150," ")</f>
        <v xml:space="preserve"> </v>
      </c>
      <c r="F15" s="232" t="s">
        <v>111</v>
      </c>
      <c r="G15" s="245"/>
      <c r="H15" s="210"/>
    </row>
    <row r="16" spans="2:8" ht="30.75" customHeight="1" x14ac:dyDescent="0.2">
      <c r="B16" s="453" t="s">
        <v>1620</v>
      </c>
      <c r="C16" s="454"/>
      <c r="D16" s="258"/>
      <c r="E16" s="263"/>
      <c r="F16" s="436" t="s">
        <v>1612</v>
      </c>
      <c r="G16" s="437"/>
      <c r="H16" s="207"/>
    </row>
    <row r="17" spans="1:8" ht="15.75" thickBot="1" x14ac:dyDescent="0.25">
      <c r="B17" s="242" t="s">
        <v>1617</v>
      </c>
      <c r="C17" s="245"/>
      <c r="D17" s="259" t="str">
        <f>IF($C$17="Yes",1000," ")</f>
        <v xml:space="preserve"> </v>
      </c>
      <c r="E17" s="263" t="str">
        <f>IF($G$17="Yes",800," ")</f>
        <v xml:space="preserve"> </v>
      </c>
      <c r="F17" s="241" t="s">
        <v>1607</v>
      </c>
      <c r="G17" s="245"/>
      <c r="H17" s="210"/>
    </row>
    <row r="18" spans="1:8" ht="15.75" customHeight="1" x14ac:dyDescent="0.2">
      <c r="B18" s="455" t="s">
        <v>1585</v>
      </c>
      <c r="C18" s="456"/>
      <c r="D18" s="456"/>
      <c r="E18" s="456"/>
      <c r="F18" s="457"/>
      <c r="G18" s="458"/>
    </row>
    <row r="19" spans="1:8" ht="15" thickBot="1" x14ac:dyDescent="0.25">
      <c r="B19" s="459"/>
      <c r="C19" s="460"/>
      <c r="D19" s="460"/>
      <c r="E19" s="460"/>
      <c r="F19" s="460"/>
      <c r="G19" s="461"/>
    </row>
    <row r="20" spans="1:8" ht="13.5" customHeight="1" x14ac:dyDescent="0.2">
      <c r="B20" s="434" t="s">
        <v>105</v>
      </c>
      <c r="C20" s="435"/>
      <c r="D20" s="260"/>
      <c r="E20" s="252"/>
      <c r="F20" s="384" t="s">
        <v>1584</v>
      </c>
      <c r="G20" s="386"/>
    </row>
    <row r="21" spans="1:8" x14ac:dyDescent="0.2">
      <c r="B21" s="277" t="s">
        <v>1608</v>
      </c>
      <c r="C21" s="278" t="s">
        <v>1622</v>
      </c>
      <c r="D21" s="261" t="str">
        <f>IF($C$21="Yes",150," ")</f>
        <v xml:space="preserve"> </v>
      </c>
      <c r="E21" s="256" t="str">
        <f>IF($G$21="Yes",150," ")</f>
        <v xml:space="preserve"> </v>
      </c>
      <c r="F21" s="247" t="s">
        <v>1597</v>
      </c>
      <c r="G21" s="245"/>
    </row>
    <row r="22" spans="1:8" s="9" customFormat="1" ht="15" x14ac:dyDescent="0.2">
      <c r="A22" s="54"/>
      <c r="B22" s="436" t="s">
        <v>1618</v>
      </c>
      <c r="C22" s="437"/>
      <c r="D22" s="261"/>
      <c r="E22" s="256"/>
      <c r="F22" s="464" t="s">
        <v>1582</v>
      </c>
      <c r="G22" s="465"/>
      <c r="H22" s="54"/>
    </row>
    <row r="23" spans="1:8" s="9" customFormat="1" ht="28.5" x14ac:dyDescent="0.2">
      <c r="A23" s="54"/>
      <c r="B23" s="241" t="s">
        <v>1619</v>
      </c>
      <c r="C23" s="245" t="s">
        <v>1622</v>
      </c>
      <c r="D23" s="256" t="str">
        <f>IF($C$23="Yes",500," ")</f>
        <v xml:space="preserve"> </v>
      </c>
      <c r="E23" s="256"/>
      <c r="F23" s="466"/>
      <c r="G23" s="467"/>
      <c r="H23" s="54"/>
    </row>
    <row r="24" spans="1:8" ht="15" x14ac:dyDescent="0.2">
      <c r="B24" s="462" t="s">
        <v>1593</v>
      </c>
      <c r="C24" s="463"/>
      <c r="D24" s="256"/>
      <c r="E24" s="256"/>
      <c r="F24" s="468"/>
      <c r="G24" s="469"/>
    </row>
    <row r="25" spans="1:8" ht="29.25" thickBot="1" x14ac:dyDescent="0.25">
      <c r="B25" s="246" t="s">
        <v>1603</v>
      </c>
      <c r="C25" s="248" t="s">
        <v>1622</v>
      </c>
      <c r="D25" s="262" t="str">
        <f>IF($C$25="Yes",500," ")</f>
        <v xml:space="preserve"> </v>
      </c>
      <c r="E25" s="262" t="str">
        <f>IF($G$25="Yes",100," ")</f>
        <v xml:space="preserve"> </v>
      </c>
      <c r="F25" s="246" t="s">
        <v>1594</v>
      </c>
      <c r="G25" s="248"/>
    </row>
    <row r="26" spans="1:8" x14ac:dyDescent="0.2">
      <c r="B26" s="174"/>
      <c r="C26" s="174"/>
      <c r="D26" s="174"/>
      <c r="E26" s="174"/>
      <c r="F26" s="174"/>
      <c r="G26" s="174"/>
    </row>
    <row r="27" spans="1:8" hidden="1" x14ac:dyDescent="0.2">
      <c r="B27" s="174"/>
      <c r="C27" s="174"/>
      <c r="D27" s="174"/>
      <c r="E27" s="174"/>
      <c r="G27" s="174"/>
    </row>
    <row r="28" spans="1:8" hidden="1" x14ac:dyDescent="0.2">
      <c r="B28" s="174"/>
      <c r="C28" s="174"/>
      <c r="D28" s="174"/>
      <c r="E28" s="174"/>
      <c r="F28" s="174"/>
      <c r="G28" s="174"/>
    </row>
    <row r="29" spans="1:8" hidden="1" x14ac:dyDescent="0.2">
      <c r="B29" s="174"/>
      <c r="C29" s="174"/>
      <c r="D29" s="174"/>
      <c r="E29" s="174"/>
      <c r="F29" s="174"/>
      <c r="G29" s="174"/>
    </row>
  </sheetData>
  <sheetProtection algorithmName="SHA-512" hashValue="XOvutoW7PwvbZQZwAhYjNFOt2ZzIO23F/wmZiUvZn1cpJuMSBBfwYKCmIO5rDOgixjd6W3ULiONDoRuaWAkWLg==" saltValue="CgjrvsDgB9pDU9E74vGNRg==" spinCount="100000" sheet="1" selectLockedCells="1"/>
  <mergeCells count="26">
    <mergeCell ref="B18:G19"/>
    <mergeCell ref="F20:G20"/>
    <mergeCell ref="B20:C20"/>
    <mergeCell ref="B24:C24"/>
    <mergeCell ref="B22:C22"/>
    <mergeCell ref="F22:G24"/>
    <mergeCell ref="B14:C14"/>
    <mergeCell ref="B16:C16"/>
    <mergeCell ref="F8:G8"/>
    <mergeCell ref="F10:G10"/>
    <mergeCell ref="F14:G14"/>
    <mergeCell ref="F16:G16"/>
    <mergeCell ref="B2:D2"/>
    <mergeCell ref="E2:G2"/>
    <mergeCell ref="B3:C3"/>
    <mergeCell ref="F3:G3"/>
    <mergeCell ref="B4:C4"/>
    <mergeCell ref="F4:G4"/>
    <mergeCell ref="B5:C5"/>
    <mergeCell ref="F5:G5"/>
    <mergeCell ref="B8:C8"/>
    <mergeCell ref="F12:G12"/>
    <mergeCell ref="B10:C10"/>
    <mergeCell ref="B12:C12"/>
    <mergeCell ref="B6:G6"/>
    <mergeCell ref="B7:G7"/>
  </mergeCells>
  <conditionalFormatting sqref="D3">
    <cfRule type="cellIs" dxfId="49" priority="23" operator="between">
      <formula>0</formula>
      <formula>0</formula>
    </cfRule>
  </conditionalFormatting>
  <conditionalFormatting sqref="D4">
    <cfRule type="cellIs" dxfId="48" priority="24" operator="between">
      <formula>0</formula>
      <formula>0</formula>
    </cfRule>
  </conditionalFormatting>
  <conditionalFormatting sqref="G9 C17 G11 G21 C25 C21 C23">
    <cfRule type="expression" dxfId="47" priority="20">
      <formula>$C$24="X"</formula>
    </cfRule>
  </conditionalFormatting>
  <conditionalFormatting sqref="C13">
    <cfRule type="expression" dxfId="46" priority="14">
      <formula>$C$24="X"</formula>
    </cfRule>
  </conditionalFormatting>
  <conditionalFormatting sqref="G25">
    <cfRule type="expression" dxfId="45" priority="12">
      <formula>$C$24="X"</formula>
    </cfRule>
  </conditionalFormatting>
  <conditionalFormatting sqref="F5:G5">
    <cfRule type="containsText" dxfId="44" priority="11" operator="containsText" text="Not Eligible">
      <formula>NOT(ISERROR(SEARCH("Not Eligible",F5)))</formula>
    </cfRule>
  </conditionalFormatting>
  <conditionalFormatting sqref="C15">
    <cfRule type="expression" dxfId="43" priority="5">
      <formula>$C$24="X"</formula>
    </cfRule>
  </conditionalFormatting>
  <conditionalFormatting sqref="G13">
    <cfRule type="expression" dxfId="42" priority="3">
      <formula>$C$24="X"</formula>
    </cfRule>
  </conditionalFormatting>
  <conditionalFormatting sqref="G15">
    <cfRule type="expression" dxfId="41" priority="2">
      <formula>$C$24="X"</formula>
    </cfRule>
  </conditionalFormatting>
  <conditionalFormatting sqref="G17">
    <cfRule type="expression" dxfId="40" priority="1">
      <formula>$C$24="X"</formula>
    </cfRule>
  </conditionalFormatting>
  <dataValidations count="4">
    <dataValidation showInputMessage="1" showErrorMessage="1" prompt="Select an option" sqref="C11" xr:uid="{00000000-0002-0000-0200-000001000000}"/>
    <dataValidation showInputMessage="1" showErrorMessage="1" sqref="C9" xr:uid="{00000000-0002-0000-0200-000002000000}"/>
    <dataValidation type="list" allowBlank="1" showInputMessage="1" showErrorMessage="1" sqref="D3:D4" xr:uid="{00000000-0002-0000-0200-000006000000}">
      <formula1>"Yes, No"</formula1>
    </dataValidation>
    <dataValidation type="list" showInputMessage="1" showErrorMessage="1" prompt="Select an option" sqref="G9 G11 G15 C15 C17 G13 C13 C23 G17 C25 G25 C21 G21" xr:uid="{081604C3-BC6D-4528-85C3-8B8B8EC6076C}">
      <formula1>"N/A,Yes"</formula1>
    </dataValidation>
  </dataValidation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4"/>
    <pageSetUpPr fitToPage="1"/>
  </sheetPr>
  <dimension ref="A1:H112"/>
  <sheetViews>
    <sheetView topLeftCell="A62" workbookViewId="0"/>
  </sheetViews>
  <sheetFormatPr defaultColWidth="0" defaultRowHeight="18" zeroHeight="1" x14ac:dyDescent="0.2"/>
  <cols>
    <col min="1" max="1" width="2.875" style="9" customWidth="1"/>
    <col min="2" max="2" width="2.875" customWidth="1"/>
    <col min="3" max="3" width="108.5" style="43" customWidth="1"/>
    <col min="4" max="4" width="9" customWidth="1"/>
    <col min="5" max="5" width="9" hidden="1" customWidth="1"/>
    <col min="6" max="6" width="8.625" hidden="1" customWidth="1"/>
    <col min="7" max="7" width="11.125" hidden="1" customWidth="1"/>
    <col min="8" max="8" width="0" hidden="1" customWidth="1"/>
    <col min="9" max="16384" width="9" hidden="1"/>
  </cols>
  <sheetData>
    <row r="1" spans="1:8" s="9" customFormat="1" x14ac:dyDescent="0.2">
      <c r="C1" s="43"/>
    </row>
    <row r="2" spans="1:8" ht="15" customHeight="1" x14ac:dyDescent="0.2">
      <c r="A2" s="67"/>
      <c r="B2" s="9"/>
      <c r="C2" s="130" t="s">
        <v>112</v>
      </c>
      <c r="D2" s="68"/>
      <c r="E2" s="68"/>
      <c r="F2" s="54"/>
      <c r="G2" s="54"/>
      <c r="H2" s="9"/>
    </row>
    <row r="3" spans="1:8" ht="15" customHeight="1" x14ac:dyDescent="0.2">
      <c r="A3" s="69"/>
      <c r="B3" s="9"/>
      <c r="C3" s="130" t="s">
        <v>113</v>
      </c>
      <c r="D3" s="68"/>
      <c r="E3" s="68"/>
      <c r="F3" s="54"/>
      <c r="G3" s="54"/>
      <c r="H3" s="9"/>
    </row>
    <row r="4" spans="1:8" ht="15" customHeight="1" x14ac:dyDescent="0.2">
      <c r="A4" s="68"/>
      <c r="B4" s="9"/>
      <c r="C4" s="131" t="s">
        <v>114</v>
      </c>
      <c r="D4" s="68"/>
      <c r="E4" s="68"/>
      <c r="F4" s="54"/>
      <c r="G4" s="54"/>
      <c r="H4" s="9"/>
    </row>
    <row r="5" spans="1:8" ht="15" customHeight="1" x14ac:dyDescent="0.2">
      <c r="A5" s="67"/>
      <c r="B5" s="9"/>
      <c r="C5" s="131" t="s">
        <v>115</v>
      </c>
      <c r="D5" s="68"/>
      <c r="E5" s="68"/>
      <c r="F5" s="54"/>
      <c r="G5" s="54"/>
      <c r="H5" s="9"/>
    </row>
    <row r="6" spans="1:8" ht="15" customHeight="1" x14ac:dyDescent="0.2">
      <c r="A6" s="68"/>
      <c r="B6" s="9"/>
      <c r="C6" s="131" t="s">
        <v>116</v>
      </c>
      <c r="D6" s="68"/>
      <c r="E6" s="68"/>
      <c r="F6" s="54"/>
      <c r="G6" s="54"/>
      <c r="H6" s="9"/>
    </row>
    <row r="7" spans="1:8" ht="15" customHeight="1" x14ac:dyDescent="0.2">
      <c r="A7" s="68"/>
      <c r="B7" s="9"/>
      <c r="C7" s="131" t="s">
        <v>117</v>
      </c>
      <c r="D7" s="68"/>
      <c r="E7" s="68"/>
      <c r="F7" s="54"/>
      <c r="G7" s="54"/>
      <c r="H7" s="9"/>
    </row>
    <row r="8" spans="1:8" ht="15" customHeight="1" x14ac:dyDescent="0.2">
      <c r="A8" s="70"/>
      <c r="B8" s="9"/>
      <c r="C8" s="131" t="s">
        <v>118</v>
      </c>
      <c r="D8" s="68"/>
      <c r="E8" s="68"/>
      <c r="F8" s="54"/>
      <c r="G8" s="54"/>
      <c r="H8" s="9"/>
    </row>
    <row r="9" spans="1:8" ht="15" customHeight="1" x14ac:dyDescent="0.2">
      <c r="A9" s="68"/>
      <c r="B9" s="9"/>
      <c r="C9" s="131" t="s">
        <v>119</v>
      </c>
      <c r="D9" s="68"/>
      <c r="E9" s="68"/>
      <c r="F9" s="54"/>
      <c r="G9" s="54"/>
      <c r="H9" s="9"/>
    </row>
    <row r="10" spans="1:8" ht="15" customHeight="1" x14ac:dyDescent="0.2">
      <c r="A10" s="68"/>
      <c r="B10" s="9"/>
      <c r="C10" s="131" t="s">
        <v>120</v>
      </c>
      <c r="D10" s="68"/>
      <c r="E10" s="68"/>
      <c r="F10" s="54"/>
      <c r="G10" s="54"/>
      <c r="H10" s="9"/>
    </row>
    <row r="11" spans="1:8" ht="15" customHeight="1" x14ac:dyDescent="0.2">
      <c r="A11" s="68"/>
      <c r="B11" s="9"/>
      <c r="C11" s="131" t="s">
        <v>121</v>
      </c>
      <c r="D11" s="68"/>
      <c r="E11" s="68"/>
      <c r="F11" s="54"/>
      <c r="G11" s="54"/>
      <c r="H11" s="9"/>
    </row>
    <row r="12" spans="1:8" ht="15" customHeight="1" x14ac:dyDescent="0.2">
      <c r="A12" s="68"/>
      <c r="B12" s="9"/>
      <c r="C12" s="131" t="s">
        <v>122</v>
      </c>
      <c r="D12" s="68"/>
      <c r="E12" s="68"/>
      <c r="F12" s="54"/>
      <c r="G12" s="54"/>
      <c r="H12" s="9"/>
    </row>
    <row r="13" spans="1:8" ht="15" customHeight="1" x14ac:dyDescent="0.2">
      <c r="A13" s="68"/>
      <c r="B13" s="9"/>
      <c r="C13" s="131" t="s">
        <v>123</v>
      </c>
      <c r="D13" s="68"/>
      <c r="E13" s="68"/>
      <c r="F13" s="54"/>
      <c r="G13" s="54"/>
      <c r="H13" s="9"/>
    </row>
    <row r="14" spans="1:8" ht="15" customHeight="1" x14ac:dyDescent="0.2">
      <c r="A14" s="68"/>
      <c r="B14" s="9"/>
      <c r="C14" s="131" t="s">
        <v>124</v>
      </c>
      <c r="D14" s="68"/>
      <c r="E14" s="68"/>
      <c r="F14" s="54"/>
      <c r="G14" s="54"/>
      <c r="H14" s="9"/>
    </row>
    <row r="15" spans="1:8" ht="15" customHeight="1" x14ac:dyDescent="0.2">
      <c r="A15" s="68"/>
      <c r="B15" s="9"/>
      <c r="C15" s="131" t="s">
        <v>125</v>
      </c>
      <c r="D15" s="68"/>
      <c r="E15" s="68"/>
      <c r="F15" s="54"/>
      <c r="G15" s="54"/>
      <c r="H15" s="9"/>
    </row>
    <row r="16" spans="1:8" ht="15" customHeight="1" x14ac:dyDescent="0.2">
      <c r="A16" s="68"/>
      <c r="B16" s="9"/>
      <c r="C16" s="131" t="s">
        <v>126</v>
      </c>
      <c r="D16" s="68"/>
      <c r="E16" s="68"/>
      <c r="F16" s="54"/>
      <c r="G16" s="54"/>
      <c r="H16" s="9"/>
    </row>
    <row r="17" spans="1:8" ht="15" customHeight="1" x14ac:dyDescent="0.2">
      <c r="A17" s="70"/>
      <c r="B17" s="9"/>
      <c r="C17" s="131" t="s">
        <v>127</v>
      </c>
      <c r="D17" s="68"/>
      <c r="E17" s="68"/>
      <c r="F17" s="54"/>
      <c r="G17" s="54"/>
      <c r="H17" s="9"/>
    </row>
    <row r="18" spans="1:8" ht="15" customHeight="1" x14ac:dyDescent="0.2">
      <c r="A18" s="68"/>
      <c r="B18" s="9"/>
      <c r="C18" s="131" t="s">
        <v>128</v>
      </c>
      <c r="D18" s="68"/>
      <c r="E18" s="68"/>
      <c r="F18" s="54"/>
      <c r="G18" s="54"/>
      <c r="H18" s="9"/>
    </row>
    <row r="19" spans="1:8" ht="15" customHeight="1" x14ac:dyDescent="0.2">
      <c r="A19" s="70"/>
      <c r="B19" s="9"/>
      <c r="C19" s="131" t="s">
        <v>129</v>
      </c>
      <c r="D19" s="68"/>
      <c r="E19" s="68"/>
      <c r="F19" s="54"/>
      <c r="G19" s="54"/>
      <c r="H19" s="9"/>
    </row>
    <row r="20" spans="1:8" ht="15" customHeight="1" x14ac:dyDescent="0.2">
      <c r="A20" s="54"/>
      <c r="B20" s="9"/>
      <c r="C20" s="131" t="s">
        <v>130</v>
      </c>
      <c r="D20" s="54"/>
      <c r="E20" s="54"/>
      <c r="F20" s="54"/>
      <c r="G20" s="54"/>
      <c r="H20" s="9"/>
    </row>
    <row r="21" spans="1:8" s="9" customFormat="1" ht="15" customHeight="1" x14ac:dyDescent="0.2">
      <c r="A21" s="54"/>
      <c r="C21" s="131" t="s">
        <v>131</v>
      </c>
      <c r="D21" s="54"/>
      <c r="E21" s="54"/>
      <c r="F21" s="54"/>
      <c r="G21" s="54"/>
    </row>
    <row r="22" spans="1:8" ht="15" customHeight="1" x14ac:dyDescent="0.2">
      <c r="A22" s="54"/>
      <c r="B22" s="9"/>
      <c r="C22" s="131" t="s">
        <v>132</v>
      </c>
      <c r="D22" s="54"/>
      <c r="E22" s="54"/>
      <c r="F22" s="54"/>
      <c r="G22" s="54"/>
      <c r="H22" s="9"/>
    </row>
    <row r="23" spans="1:8" ht="15" customHeight="1" x14ac:dyDescent="0.2">
      <c r="A23" s="54"/>
      <c r="B23" s="9"/>
      <c r="C23" s="131" t="s">
        <v>133</v>
      </c>
      <c r="D23" s="54"/>
      <c r="E23" s="54"/>
      <c r="F23" s="54"/>
      <c r="G23" s="54"/>
      <c r="H23" s="9"/>
    </row>
    <row r="24" spans="1:8" ht="15" customHeight="1" x14ac:dyDescent="0.2">
      <c r="A24" s="71"/>
      <c r="B24" s="9"/>
      <c r="C24" s="132" t="s">
        <v>134</v>
      </c>
      <c r="D24" s="72"/>
      <c r="E24" s="57"/>
      <c r="F24" s="57"/>
      <c r="G24" s="57"/>
      <c r="H24" s="1"/>
    </row>
    <row r="25" spans="1:8" ht="15" customHeight="1" x14ac:dyDescent="0.2">
      <c r="A25" s="68"/>
      <c r="B25" s="9"/>
      <c r="C25" s="131" t="s">
        <v>135</v>
      </c>
      <c r="D25" s="68"/>
      <c r="E25" s="68"/>
      <c r="F25" s="54"/>
      <c r="G25" s="54"/>
      <c r="H25" s="9"/>
    </row>
    <row r="26" spans="1:8" ht="15" customHeight="1" x14ac:dyDescent="0.2">
      <c r="A26" s="68"/>
      <c r="B26" s="9"/>
      <c r="C26" s="131" t="s">
        <v>136</v>
      </c>
      <c r="D26" s="68"/>
      <c r="E26" s="68"/>
      <c r="F26" s="54"/>
      <c r="G26" s="54"/>
      <c r="H26" s="9"/>
    </row>
    <row r="27" spans="1:8" ht="15" customHeight="1" x14ac:dyDescent="0.2">
      <c r="A27" s="73"/>
      <c r="B27" s="9"/>
      <c r="C27" s="131" t="s">
        <v>137</v>
      </c>
      <c r="D27" s="68"/>
      <c r="E27" s="68"/>
      <c r="F27" s="54"/>
      <c r="G27" s="54"/>
      <c r="H27" s="9"/>
    </row>
    <row r="28" spans="1:8" ht="15" customHeight="1" x14ac:dyDescent="0.2">
      <c r="A28" s="74"/>
      <c r="B28" s="9"/>
      <c r="C28" s="133" t="s">
        <v>138</v>
      </c>
      <c r="D28" s="74"/>
      <c r="E28" s="74"/>
      <c r="F28" s="54"/>
      <c r="G28" s="54"/>
      <c r="H28" s="9"/>
    </row>
    <row r="29" spans="1:8" ht="15" customHeight="1" x14ac:dyDescent="0.2">
      <c r="A29" s="74"/>
      <c r="B29" s="9"/>
      <c r="C29" s="133" t="s">
        <v>139</v>
      </c>
      <c r="D29" s="74"/>
      <c r="E29" s="74"/>
      <c r="F29" s="54"/>
      <c r="G29" s="54"/>
      <c r="H29" s="9"/>
    </row>
    <row r="30" spans="1:8" ht="15" customHeight="1" x14ac:dyDescent="0.2">
      <c r="A30" s="74"/>
      <c r="B30" s="9"/>
      <c r="C30" s="133" t="s">
        <v>140</v>
      </c>
      <c r="D30" s="74"/>
      <c r="E30" s="74"/>
      <c r="F30" s="54"/>
      <c r="G30" s="54"/>
      <c r="H30" s="9"/>
    </row>
    <row r="31" spans="1:8" ht="15" customHeight="1" x14ac:dyDescent="0.2">
      <c r="A31" s="74"/>
      <c r="B31" s="9"/>
      <c r="C31" s="133" t="s">
        <v>141</v>
      </c>
      <c r="D31" s="74"/>
      <c r="E31" s="74"/>
      <c r="F31" s="54"/>
      <c r="G31" s="54"/>
      <c r="H31" s="9"/>
    </row>
    <row r="32" spans="1:8" s="9" customFormat="1" ht="15" customHeight="1" x14ac:dyDescent="0.2">
      <c r="A32" s="74"/>
      <c r="C32" s="134" t="s">
        <v>142</v>
      </c>
      <c r="D32" s="74"/>
      <c r="E32" s="74"/>
      <c r="F32" s="54"/>
      <c r="G32" s="54"/>
    </row>
    <row r="33" spans="1:7" ht="15" customHeight="1" x14ac:dyDescent="0.2">
      <c r="A33" s="74"/>
      <c r="B33" s="9"/>
      <c r="C33" s="133" t="s">
        <v>143</v>
      </c>
      <c r="D33" s="74"/>
      <c r="E33" s="74"/>
      <c r="F33" s="54"/>
      <c r="G33" s="54"/>
    </row>
    <row r="34" spans="1:7" ht="15" customHeight="1" x14ac:dyDescent="0.2">
      <c r="A34" s="68"/>
      <c r="B34" s="9"/>
      <c r="C34" s="131" t="s">
        <v>144</v>
      </c>
      <c r="D34" s="68"/>
      <c r="E34" s="68"/>
      <c r="F34" s="54"/>
      <c r="G34" s="54"/>
    </row>
    <row r="35" spans="1:7" ht="15" customHeight="1" x14ac:dyDescent="0.2">
      <c r="A35" s="73"/>
      <c r="B35" s="9"/>
      <c r="C35" s="131" t="s">
        <v>145</v>
      </c>
      <c r="D35" s="68"/>
      <c r="E35" s="68"/>
      <c r="F35" s="54"/>
      <c r="G35" s="54"/>
    </row>
    <row r="36" spans="1:7" ht="15" customHeight="1" x14ac:dyDescent="0.2">
      <c r="A36" s="70"/>
      <c r="B36" s="9"/>
      <c r="C36" s="131" t="s">
        <v>146</v>
      </c>
      <c r="D36" s="68"/>
      <c r="E36" s="68"/>
      <c r="F36" s="54"/>
      <c r="G36" s="54"/>
    </row>
    <row r="37" spans="1:7" ht="15" customHeight="1" x14ac:dyDescent="0.2">
      <c r="A37" s="73"/>
      <c r="B37" s="9"/>
      <c r="C37" s="131" t="s">
        <v>147</v>
      </c>
      <c r="D37" s="68"/>
      <c r="E37" s="68"/>
      <c r="F37" s="54"/>
      <c r="G37" s="54"/>
    </row>
    <row r="38" spans="1:7" ht="15" customHeight="1" x14ac:dyDescent="0.2">
      <c r="A38" s="68"/>
      <c r="B38" s="9"/>
      <c r="C38" s="131" t="s">
        <v>148</v>
      </c>
      <c r="D38" s="68"/>
      <c r="E38" s="68"/>
      <c r="F38" s="54"/>
      <c r="G38" s="54"/>
    </row>
    <row r="39" spans="1:7" ht="15" customHeight="1" x14ac:dyDescent="0.2">
      <c r="A39" s="68"/>
      <c r="B39" s="9"/>
      <c r="C39" s="131" t="s">
        <v>149</v>
      </c>
      <c r="D39" s="68"/>
      <c r="E39" s="68"/>
      <c r="F39" s="54"/>
      <c r="G39" s="54"/>
    </row>
    <row r="40" spans="1:7" ht="15" customHeight="1" x14ac:dyDescent="0.2">
      <c r="A40" s="68"/>
      <c r="B40" s="9"/>
      <c r="C40" s="131" t="s">
        <v>150</v>
      </c>
      <c r="D40" s="68"/>
      <c r="E40" s="68"/>
      <c r="F40" s="54"/>
      <c r="G40" s="54"/>
    </row>
    <row r="41" spans="1:7" ht="15" customHeight="1" x14ac:dyDescent="0.2">
      <c r="A41" s="70"/>
      <c r="B41" s="9"/>
      <c r="C41" s="131" t="s">
        <v>151</v>
      </c>
      <c r="D41" s="68"/>
      <c r="E41" s="68"/>
      <c r="F41" s="54"/>
      <c r="G41" s="54"/>
    </row>
    <row r="42" spans="1:7" ht="15" customHeight="1" x14ac:dyDescent="0.2">
      <c r="A42" s="75"/>
      <c r="B42" s="9"/>
      <c r="C42" s="131" t="s">
        <v>152</v>
      </c>
      <c r="D42" s="68"/>
      <c r="E42" s="68"/>
      <c r="F42" s="54"/>
      <c r="G42" s="54"/>
    </row>
    <row r="43" spans="1:7" ht="15" customHeight="1" x14ac:dyDescent="0.2">
      <c r="A43" s="75"/>
      <c r="B43" s="9"/>
      <c r="C43" s="131" t="s">
        <v>153</v>
      </c>
      <c r="D43" s="68"/>
      <c r="E43" s="68"/>
      <c r="F43" s="54"/>
      <c r="G43" s="54"/>
    </row>
    <row r="44" spans="1:7" ht="15" customHeight="1" x14ac:dyDescent="0.2">
      <c r="A44" s="75"/>
      <c r="B44" s="9"/>
      <c r="C44" s="131" t="s">
        <v>154</v>
      </c>
      <c r="D44" s="68"/>
      <c r="E44" s="68"/>
      <c r="F44" s="54"/>
      <c r="G44" s="54"/>
    </row>
    <row r="45" spans="1:7" ht="15" customHeight="1" x14ac:dyDescent="0.2">
      <c r="A45" s="54"/>
      <c r="B45" s="9"/>
      <c r="C45" s="131" t="s">
        <v>155</v>
      </c>
      <c r="D45" s="54"/>
      <c r="E45" s="54"/>
      <c r="F45" s="54"/>
      <c r="G45" s="54"/>
    </row>
    <row r="46" spans="1:7" ht="15" customHeight="1" x14ac:dyDescent="0.2">
      <c r="A46" s="54"/>
      <c r="B46" s="9"/>
      <c r="C46" s="131" t="s">
        <v>156</v>
      </c>
      <c r="D46" s="54"/>
      <c r="E46" s="54"/>
      <c r="F46" s="54"/>
      <c r="G46" s="54"/>
    </row>
    <row r="47" spans="1:7" ht="15" customHeight="1" x14ac:dyDescent="0.2">
      <c r="A47" s="54"/>
      <c r="B47" s="9"/>
      <c r="C47" s="131" t="s">
        <v>157</v>
      </c>
      <c r="D47" s="54"/>
      <c r="E47" s="54"/>
      <c r="F47" s="54"/>
      <c r="G47" s="54"/>
    </row>
    <row r="48" spans="1:7" ht="15" customHeight="1" x14ac:dyDescent="0.2">
      <c r="A48" s="54"/>
      <c r="B48" s="9"/>
      <c r="C48" s="130" t="s">
        <v>158</v>
      </c>
      <c r="D48" s="54"/>
      <c r="E48" s="54"/>
      <c r="F48" s="54"/>
      <c r="G48" s="54"/>
    </row>
    <row r="49" spans="1:7" ht="15" customHeight="1" x14ac:dyDescent="0.2">
      <c r="A49" s="54"/>
      <c r="B49" s="9"/>
      <c r="C49" s="131" t="s">
        <v>159</v>
      </c>
      <c r="D49" s="54"/>
      <c r="E49" s="54"/>
      <c r="F49" s="54"/>
      <c r="G49" s="54"/>
    </row>
    <row r="50" spans="1:7" ht="15" customHeight="1" x14ac:dyDescent="0.2">
      <c r="A50" s="54"/>
      <c r="B50" s="9"/>
      <c r="C50" s="131" t="s">
        <v>160</v>
      </c>
      <c r="D50" s="54"/>
      <c r="E50" s="54"/>
      <c r="F50" s="54"/>
      <c r="G50" s="54"/>
    </row>
    <row r="51" spans="1:7" ht="15" customHeight="1" x14ac:dyDescent="0.2">
      <c r="A51" s="54"/>
      <c r="B51" s="9"/>
      <c r="C51" s="131" t="s">
        <v>161</v>
      </c>
      <c r="D51" s="54"/>
      <c r="E51" s="54"/>
      <c r="F51" s="54"/>
      <c r="G51" s="54"/>
    </row>
    <row r="52" spans="1:7" ht="15" customHeight="1" x14ac:dyDescent="0.2">
      <c r="A52" s="54"/>
      <c r="B52" s="9"/>
      <c r="C52" s="130" t="s">
        <v>162</v>
      </c>
      <c r="D52" s="54"/>
      <c r="E52" s="54"/>
      <c r="F52" s="54"/>
      <c r="G52" s="54"/>
    </row>
    <row r="53" spans="1:7" ht="15" customHeight="1" x14ac:dyDescent="0.2">
      <c r="A53" s="54"/>
      <c r="B53" s="9"/>
      <c r="C53" s="131" t="s">
        <v>163</v>
      </c>
      <c r="D53" s="54"/>
      <c r="E53" s="54"/>
      <c r="F53" s="54"/>
      <c r="G53" s="54"/>
    </row>
    <row r="54" spans="1:7" ht="15" customHeight="1" x14ac:dyDescent="0.2">
      <c r="A54" s="54"/>
      <c r="B54" s="9"/>
      <c r="C54" s="131" t="s">
        <v>164</v>
      </c>
      <c r="D54" s="54"/>
      <c r="E54" s="54"/>
      <c r="F54" s="54"/>
      <c r="G54" s="54"/>
    </row>
    <row r="55" spans="1:7" ht="15" customHeight="1" x14ac:dyDescent="0.2">
      <c r="A55" s="54"/>
      <c r="B55" s="9"/>
      <c r="C55" s="131" t="s">
        <v>165</v>
      </c>
      <c r="D55" s="54"/>
      <c r="E55" s="54"/>
      <c r="F55" s="54"/>
      <c r="G55" s="54"/>
    </row>
    <row r="56" spans="1:7" ht="15" customHeight="1" x14ac:dyDescent="0.2">
      <c r="A56" s="54"/>
      <c r="B56" s="9"/>
      <c r="C56" s="131" t="s">
        <v>166</v>
      </c>
      <c r="D56" s="54"/>
      <c r="E56" s="54"/>
      <c r="F56" s="54"/>
      <c r="G56" s="54"/>
    </row>
    <row r="57" spans="1:7" ht="15" customHeight="1" x14ac:dyDescent="0.2">
      <c r="A57" s="54"/>
      <c r="B57" s="9"/>
      <c r="C57" s="131" t="s">
        <v>167</v>
      </c>
      <c r="D57" s="54"/>
      <c r="E57" s="54"/>
      <c r="F57" s="54"/>
      <c r="G57" s="54"/>
    </row>
    <row r="58" spans="1:7" ht="15" customHeight="1" x14ac:dyDescent="0.2">
      <c r="A58" s="54"/>
      <c r="B58" s="9"/>
      <c r="C58" s="131" t="s">
        <v>168</v>
      </c>
      <c r="D58" s="54"/>
      <c r="E58" s="54"/>
      <c r="F58" s="54"/>
      <c r="G58" s="54"/>
    </row>
    <row r="59" spans="1:7" ht="15" customHeight="1" x14ac:dyDescent="0.2">
      <c r="A59" s="54"/>
      <c r="B59" s="9"/>
      <c r="C59" s="131" t="s">
        <v>169</v>
      </c>
      <c r="D59" s="54"/>
      <c r="E59" s="54"/>
      <c r="F59" s="54"/>
      <c r="G59" s="54"/>
    </row>
    <row r="60" spans="1:7" ht="15" customHeight="1" x14ac:dyDescent="0.2">
      <c r="A60" s="54"/>
      <c r="B60" s="9"/>
      <c r="C60" s="130" t="s">
        <v>170</v>
      </c>
      <c r="D60" s="54"/>
      <c r="E60" s="54"/>
      <c r="F60" s="54"/>
      <c r="G60" s="54"/>
    </row>
    <row r="61" spans="1:7" ht="15" customHeight="1" x14ac:dyDescent="0.2">
      <c r="A61" s="54"/>
      <c r="B61" s="9"/>
      <c r="C61" s="131" t="s">
        <v>171</v>
      </c>
      <c r="D61" s="54"/>
      <c r="E61" s="54"/>
      <c r="F61" s="54"/>
      <c r="G61" s="54"/>
    </row>
    <row r="62" spans="1:7" ht="15" customHeight="1" x14ac:dyDescent="0.2">
      <c r="A62" s="54"/>
      <c r="B62" s="9"/>
      <c r="C62" s="131" t="s">
        <v>172</v>
      </c>
      <c r="D62" s="54"/>
      <c r="E62" s="54"/>
      <c r="F62" s="54"/>
      <c r="G62" s="54"/>
    </row>
    <row r="63" spans="1:7" ht="15" customHeight="1" x14ac:dyDescent="0.2">
      <c r="A63" s="54"/>
      <c r="B63" s="9"/>
      <c r="C63" s="130" t="s">
        <v>173</v>
      </c>
      <c r="D63" s="54"/>
      <c r="E63" s="54"/>
      <c r="F63" s="54"/>
      <c r="G63" s="54"/>
    </row>
    <row r="64" spans="1:7" ht="15" customHeight="1" x14ac:dyDescent="0.2">
      <c r="A64" s="54"/>
      <c r="B64" s="9"/>
      <c r="C64" s="131" t="s">
        <v>174</v>
      </c>
      <c r="D64" s="54"/>
      <c r="E64" s="54"/>
      <c r="F64" s="54"/>
      <c r="G64" s="54"/>
    </row>
    <row r="65" spans="1:7" ht="15" customHeight="1" x14ac:dyDescent="0.2">
      <c r="A65" s="54"/>
      <c r="B65" s="9"/>
      <c r="C65" s="131" t="s">
        <v>175</v>
      </c>
      <c r="D65" s="54"/>
      <c r="E65" s="54"/>
      <c r="F65" s="54"/>
      <c r="G65" s="54"/>
    </row>
    <row r="66" spans="1:7" ht="15" customHeight="1" x14ac:dyDescent="0.2">
      <c r="A66" s="54"/>
      <c r="B66" s="9"/>
      <c r="C66" s="131" t="s">
        <v>176</v>
      </c>
      <c r="D66" s="54"/>
      <c r="E66" s="54"/>
      <c r="F66" s="54"/>
      <c r="G66" s="54"/>
    </row>
    <row r="67" spans="1:7" ht="15" customHeight="1" x14ac:dyDescent="0.2">
      <c r="A67" s="54"/>
      <c r="B67" s="9"/>
      <c r="C67" s="131" t="s">
        <v>177</v>
      </c>
      <c r="D67" s="54"/>
      <c r="E67" s="54"/>
      <c r="F67" s="54"/>
      <c r="G67" s="54"/>
    </row>
    <row r="68" spans="1:7" ht="15" customHeight="1" x14ac:dyDescent="0.2">
      <c r="A68" s="54"/>
      <c r="B68" s="9"/>
      <c r="C68" s="131" t="s">
        <v>178</v>
      </c>
      <c r="D68" s="54"/>
      <c r="E68" s="54"/>
      <c r="F68" s="54"/>
      <c r="G68" s="54"/>
    </row>
    <row r="69" spans="1:7" ht="15" customHeight="1" x14ac:dyDescent="0.2">
      <c r="A69" s="54"/>
      <c r="B69" s="9"/>
      <c r="C69" s="131" t="s">
        <v>179</v>
      </c>
      <c r="D69" s="54"/>
      <c r="E69" s="54"/>
      <c r="F69" s="54"/>
      <c r="G69" s="54"/>
    </row>
    <row r="70" spans="1:7" ht="15" customHeight="1" x14ac:dyDescent="0.2">
      <c r="A70" s="54"/>
      <c r="B70" s="9"/>
      <c r="C70" s="131" t="s">
        <v>180</v>
      </c>
      <c r="D70" s="54"/>
      <c r="E70" s="54"/>
      <c r="F70" s="54"/>
      <c r="G70" s="54"/>
    </row>
    <row r="71" spans="1:7" ht="15" customHeight="1" x14ac:dyDescent="0.2">
      <c r="A71" s="54"/>
      <c r="B71" s="9"/>
      <c r="C71" s="131" t="s">
        <v>181</v>
      </c>
      <c r="D71" s="54"/>
      <c r="E71" s="54"/>
      <c r="F71" s="54"/>
      <c r="G71" s="54"/>
    </row>
    <row r="72" spans="1:7" ht="15" customHeight="1" x14ac:dyDescent="0.2">
      <c r="A72" s="54"/>
      <c r="B72" s="9"/>
      <c r="C72" s="131" t="s">
        <v>182</v>
      </c>
      <c r="D72" s="54"/>
      <c r="E72" s="54"/>
      <c r="F72" s="54"/>
      <c r="G72" s="54"/>
    </row>
    <row r="73" spans="1:7" ht="15" customHeight="1" x14ac:dyDescent="0.2">
      <c r="A73" s="54"/>
      <c r="B73" s="9"/>
      <c r="C73" s="131" t="s">
        <v>183</v>
      </c>
      <c r="D73" s="54"/>
      <c r="E73" s="54"/>
      <c r="F73" s="54"/>
      <c r="G73" s="54"/>
    </row>
    <row r="74" spans="1:7" ht="15" customHeight="1" x14ac:dyDescent="0.2">
      <c r="A74" s="54"/>
      <c r="B74" s="9"/>
      <c r="C74" s="131" t="s">
        <v>184</v>
      </c>
      <c r="D74" s="54"/>
      <c r="E74" s="54"/>
      <c r="F74" s="54"/>
      <c r="G74" s="54"/>
    </row>
    <row r="75" spans="1:7" ht="15" customHeight="1" x14ac:dyDescent="0.2">
      <c r="A75" s="54"/>
      <c r="B75" s="9"/>
      <c r="C75" s="131" t="s">
        <v>185</v>
      </c>
      <c r="D75" s="54"/>
      <c r="E75" s="54"/>
      <c r="F75" s="54"/>
      <c r="G75" s="54"/>
    </row>
    <row r="76" spans="1:7" ht="15" customHeight="1" x14ac:dyDescent="0.2">
      <c r="A76" s="54"/>
      <c r="B76" s="9"/>
      <c r="C76" s="131" t="s">
        <v>186</v>
      </c>
      <c r="D76" s="54"/>
      <c r="E76" s="54"/>
      <c r="F76" s="54"/>
      <c r="G76" s="54"/>
    </row>
    <row r="77" spans="1:7" ht="15" customHeight="1" x14ac:dyDescent="0.2">
      <c r="A77" s="54"/>
      <c r="B77" s="9"/>
      <c r="C77" s="131" t="s">
        <v>187</v>
      </c>
      <c r="D77" s="54"/>
      <c r="E77" s="54"/>
      <c r="F77" s="54"/>
      <c r="G77" s="54"/>
    </row>
    <row r="78" spans="1:7" ht="15" customHeight="1" x14ac:dyDescent="0.2">
      <c r="A78" s="54"/>
      <c r="B78" s="9"/>
      <c r="C78" s="131" t="s">
        <v>188</v>
      </c>
      <c r="D78" s="54"/>
      <c r="E78" s="54"/>
      <c r="F78" s="54"/>
      <c r="G78" s="54"/>
    </row>
    <row r="79" spans="1:7" ht="15" customHeight="1" x14ac:dyDescent="0.2">
      <c r="A79" s="54"/>
      <c r="B79" s="9"/>
      <c r="C79" s="131" t="s">
        <v>189</v>
      </c>
      <c r="D79" s="54"/>
      <c r="E79" s="54"/>
      <c r="F79" s="54"/>
      <c r="G79" s="54"/>
    </row>
    <row r="80" spans="1:7" ht="15" customHeight="1" x14ac:dyDescent="0.2">
      <c r="A80" s="54"/>
      <c r="B80" s="9"/>
      <c r="C80" s="135"/>
      <c r="D80" s="54"/>
      <c r="E80" s="54"/>
      <c r="F80" s="54"/>
      <c r="G80" s="54"/>
    </row>
    <row r="81" spans="1:7" ht="15" customHeight="1" x14ac:dyDescent="0.2">
      <c r="A81" s="54"/>
      <c r="B81" s="9"/>
      <c r="C81" s="136" t="s">
        <v>190</v>
      </c>
      <c r="D81" s="54"/>
      <c r="E81" s="54"/>
      <c r="F81" s="54"/>
      <c r="G81" s="54"/>
    </row>
    <row r="82" spans="1:7" ht="15" customHeight="1" x14ac:dyDescent="0.2">
      <c r="A82" s="54"/>
      <c r="B82" s="9"/>
      <c r="C82" s="137"/>
      <c r="D82" s="54"/>
      <c r="E82" s="54"/>
      <c r="F82" s="54"/>
      <c r="G82" s="54"/>
    </row>
    <row r="83" spans="1:7" ht="15" customHeight="1" x14ac:dyDescent="0.2">
      <c r="A83" s="54"/>
      <c r="B83" s="9"/>
      <c r="C83" s="137" t="s">
        <v>191</v>
      </c>
      <c r="D83" s="54"/>
      <c r="E83" s="54"/>
      <c r="F83" s="54"/>
      <c r="G83" s="54"/>
    </row>
    <row r="84" spans="1:7" ht="15" customHeight="1" x14ac:dyDescent="0.2">
      <c r="A84" s="54"/>
      <c r="B84" s="9"/>
      <c r="C84" s="137" t="s">
        <v>192</v>
      </c>
      <c r="D84" s="54"/>
      <c r="E84" s="54"/>
      <c r="F84" s="54"/>
      <c r="G84" s="54"/>
    </row>
    <row r="85" spans="1:7" s="9" customFormat="1" ht="15" customHeight="1" x14ac:dyDescent="0.2">
      <c r="A85" s="54"/>
      <c r="C85" s="137"/>
      <c r="D85" s="54"/>
      <c r="E85" s="54"/>
      <c r="F85" s="54"/>
      <c r="G85" s="54"/>
    </row>
    <row r="86" spans="1:7" s="10" customFormat="1" ht="15" customHeight="1" x14ac:dyDescent="0.25">
      <c r="A86" s="66"/>
      <c r="B86" s="9"/>
      <c r="C86" s="136" t="s">
        <v>193</v>
      </c>
      <c r="D86" s="66"/>
      <c r="E86" s="66"/>
      <c r="F86" s="66"/>
      <c r="G86" s="66"/>
    </row>
    <row r="87" spans="1:7" ht="15" customHeight="1" x14ac:dyDescent="0.2">
      <c r="A87" s="54"/>
      <c r="B87" s="9"/>
      <c r="C87" s="137"/>
      <c r="D87" s="54"/>
      <c r="E87" s="54"/>
      <c r="F87" s="54"/>
      <c r="G87" s="54"/>
    </row>
    <row r="88" spans="1:7" ht="15" customHeight="1" x14ac:dyDescent="0.2">
      <c r="A88" s="54"/>
      <c r="B88" s="9"/>
      <c r="C88" s="137" t="s">
        <v>194</v>
      </c>
      <c r="D88" s="54"/>
      <c r="E88" s="54"/>
      <c r="F88" s="54"/>
      <c r="G88" s="54"/>
    </row>
    <row r="89" spans="1:7" ht="15" customHeight="1" x14ac:dyDescent="0.2">
      <c r="A89" s="54"/>
      <c r="B89" s="9"/>
      <c r="C89" s="137"/>
      <c r="D89" s="54"/>
      <c r="E89" s="54"/>
      <c r="F89" s="54"/>
      <c r="G89" s="54"/>
    </row>
    <row r="90" spans="1:7" ht="15" customHeight="1" x14ac:dyDescent="0.2">
      <c r="A90" s="54"/>
      <c r="B90" s="9"/>
      <c r="C90" s="137" t="s">
        <v>195</v>
      </c>
      <c r="D90" s="54"/>
      <c r="E90" s="54"/>
      <c r="F90" s="54"/>
      <c r="G90" s="54"/>
    </row>
    <row r="91" spans="1:7" ht="15" customHeight="1" x14ac:dyDescent="0.2">
      <c r="A91" s="54"/>
      <c r="B91" s="9"/>
      <c r="C91" s="137"/>
      <c r="D91" s="54"/>
      <c r="E91" s="54"/>
      <c r="F91" s="54"/>
      <c r="G91" s="54"/>
    </row>
    <row r="92" spans="1:7" ht="15" customHeight="1" x14ac:dyDescent="0.2">
      <c r="A92" s="54"/>
      <c r="B92" s="9"/>
      <c r="C92" s="137" t="s">
        <v>196</v>
      </c>
      <c r="D92" s="54"/>
      <c r="E92" s="54"/>
      <c r="F92" s="54"/>
      <c r="G92" s="54"/>
    </row>
    <row r="93" spans="1:7" ht="15" customHeight="1" x14ac:dyDescent="0.2">
      <c r="A93" s="54"/>
      <c r="B93" s="9"/>
      <c r="C93" s="137"/>
      <c r="D93" s="54"/>
      <c r="E93" s="54"/>
      <c r="F93" s="54"/>
      <c r="G93" s="54"/>
    </row>
    <row r="94" spans="1:7" ht="15" customHeight="1" x14ac:dyDescent="0.2">
      <c r="A94" s="54"/>
      <c r="B94" s="9"/>
      <c r="C94" s="137" t="s">
        <v>197</v>
      </c>
      <c r="D94" s="54"/>
      <c r="E94" s="54"/>
      <c r="F94" s="54"/>
      <c r="G94" s="54"/>
    </row>
    <row r="95" spans="1:7" ht="15" customHeight="1" x14ac:dyDescent="0.2">
      <c r="A95" s="54"/>
      <c r="B95" s="9"/>
      <c r="C95" s="137"/>
      <c r="D95" s="54"/>
      <c r="E95" s="54"/>
      <c r="F95" s="54"/>
      <c r="G95" s="54"/>
    </row>
    <row r="96" spans="1:7" ht="15" customHeight="1" x14ac:dyDescent="0.2">
      <c r="A96" s="54"/>
      <c r="B96" s="9"/>
      <c r="C96" s="137" t="s">
        <v>198</v>
      </c>
      <c r="D96" s="54"/>
      <c r="E96" s="54"/>
      <c r="F96" s="54"/>
      <c r="G96" s="54"/>
    </row>
    <row r="97" spans="1:7" ht="15" customHeight="1" x14ac:dyDescent="0.2">
      <c r="A97" s="54"/>
      <c r="B97" s="9"/>
      <c r="C97" s="137"/>
      <c r="D97" s="54"/>
      <c r="E97" s="54"/>
      <c r="F97" s="54"/>
      <c r="G97" s="54"/>
    </row>
    <row r="98" spans="1:7" ht="15" customHeight="1" x14ac:dyDescent="0.2">
      <c r="A98" s="54"/>
      <c r="B98" s="9"/>
      <c r="C98" s="137" t="s">
        <v>199</v>
      </c>
      <c r="D98" s="54"/>
      <c r="E98" s="54"/>
      <c r="F98" s="54"/>
      <c r="G98" s="54"/>
    </row>
    <row r="99" spans="1:7" ht="15" customHeight="1" x14ac:dyDescent="0.2">
      <c r="A99" s="54"/>
      <c r="B99" s="9"/>
      <c r="C99" s="137"/>
      <c r="D99" s="54"/>
      <c r="E99" s="54"/>
      <c r="F99" s="54"/>
      <c r="G99" s="54"/>
    </row>
    <row r="100" spans="1:7" ht="15" customHeight="1" x14ac:dyDescent="0.2">
      <c r="A100" s="54"/>
      <c r="B100" s="9"/>
      <c r="C100" s="137" t="s">
        <v>200</v>
      </c>
      <c r="D100" s="54"/>
      <c r="E100" s="54"/>
      <c r="F100" s="54"/>
      <c r="G100" s="54"/>
    </row>
    <row r="101" spans="1:7" ht="15" customHeight="1" x14ac:dyDescent="0.2">
      <c r="A101" s="54"/>
      <c r="B101" s="9"/>
      <c r="C101" s="137" t="s">
        <v>201</v>
      </c>
      <c r="D101" s="54"/>
      <c r="E101" s="54"/>
      <c r="F101" s="54"/>
      <c r="G101" s="54"/>
    </row>
    <row r="102" spans="1:7" ht="15" customHeight="1" x14ac:dyDescent="0.2">
      <c r="A102" s="54"/>
      <c r="B102" s="9"/>
      <c r="C102" s="137" t="s">
        <v>202</v>
      </c>
      <c r="D102" s="54"/>
      <c r="E102" s="54"/>
      <c r="F102" s="54"/>
      <c r="G102" s="54"/>
    </row>
    <row r="103" spans="1:7" ht="15" customHeight="1" x14ac:dyDescent="0.2">
      <c r="A103" s="54"/>
      <c r="B103" s="9"/>
      <c r="C103" s="137" t="s">
        <v>203</v>
      </c>
      <c r="D103" s="54"/>
      <c r="E103" s="54"/>
      <c r="F103" s="54"/>
      <c r="G103" s="54"/>
    </row>
    <row r="104" spans="1:7" x14ac:dyDescent="0.2">
      <c r="A104" s="54"/>
      <c r="B104" s="9"/>
      <c r="C104" s="77"/>
      <c r="D104" s="54"/>
      <c r="E104" s="54"/>
      <c r="F104" s="54"/>
      <c r="G104" s="54"/>
    </row>
    <row r="105" spans="1:7" hidden="1" x14ac:dyDescent="0.2">
      <c r="A105" s="54"/>
      <c r="B105" s="9"/>
      <c r="C105" s="77"/>
      <c r="D105" s="54"/>
      <c r="E105" s="54"/>
      <c r="F105" s="54"/>
      <c r="G105" s="54"/>
    </row>
    <row r="106" spans="1:7" hidden="1" x14ac:dyDescent="0.2">
      <c r="A106" s="54"/>
      <c r="B106" s="9"/>
      <c r="C106" s="76"/>
      <c r="D106" s="54"/>
      <c r="E106" s="54"/>
      <c r="F106" s="54"/>
      <c r="G106" s="54"/>
    </row>
    <row r="107" spans="1:7" hidden="1" x14ac:dyDescent="0.2">
      <c r="A107" s="54"/>
      <c r="B107" s="9"/>
      <c r="C107" s="76"/>
      <c r="D107" s="54"/>
      <c r="E107" s="54"/>
      <c r="F107" s="54"/>
      <c r="G107" s="54"/>
    </row>
    <row r="108" spans="1:7" hidden="1" x14ac:dyDescent="0.2">
      <c r="A108" s="54"/>
      <c r="B108" s="9"/>
      <c r="C108" s="76"/>
      <c r="D108" s="54"/>
      <c r="E108" s="54"/>
      <c r="F108" s="54"/>
      <c r="G108" s="54"/>
    </row>
    <row r="109" spans="1:7" hidden="1" x14ac:dyDescent="0.2">
      <c r="A109" s="54"/>
      <c r="B109" s="9"/>
      <c r="C109" s="76"/>
      <c r="D109" s="54"/>
      <c r="E109" s="54"/>
      <c r="F109" s="54"/>
      <c r="G109" s="54"/>
    </row>
    <row r="110" spans="1:7" hidden="1" x14ac:dyDescent="0.2">
      <c r="A110" s="54"/>
      <c r="B110" s="9"/>
      <c r="C110" s="76"/>
      <c r="D110" s="54"/>
      <c r="E110" s="54"/>
      <c r="F110" s="54"/>
      <c r="G110" s="54"/>
    </row>
    <row r="111" spans="1:7" hidden="1" x14ac:dyDescent="0.2">
      <c r="A111" s="54"/>
      <c r="B111" s="9"/>
      <c r="C111" s="76"/>
      <c r="D111" s="54"/>
      <c r="E111" s="54"/>
      <c r="F111" s="54"/>
      <c r="G111" s="54"/>
    </row>
    <row r="112" spans="1:7" hidden="1" x14ac:dyDescent="0.2">
      <c r="A112" s="54"/>
      <c r="B112" s="9"/>
      <c r="C112" s="76"/>
      <c r="D112" s="54"/>
      <c r="E112" s="54"/>
      <c r="F112" s="54"/>
      <c r="G112" s="54"/>
    </row>
  </sheetData>
  <sheetProtection algorithmName="SHA-512" hashValue="XXbnAaQ17wKGGafIpnTfC+fWNyrUHQeXmnfjy/ofUjMNCK2lF69SQaLx0E7NT6Ar9weUEa76BesoOUV8Q6Zrnw==" saltValue="hNphdLdKn5rqg+ikEZ2+sA==" spinCount="100000" sheet="1" selectLockedCells="1" selectUnlockedCells="1"/>
  <pageMargins left="0.25" right="0.25" top="0.25" bottom="0.25" header="0" footer="0"/>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rgb="FFFF0000"/>
  </sheetPr>
  <dimension ref="A1:T68"/>
  <sheetViews>
    <sheetView topLeftCell="A34" workbookViewId="0"/>
  </sheetViews>
  <sheetFormatPr defaultColWidth="0" defaultRowHeight="14.25" zeroHeight="1" x14ac:dyDescent="0.2"/>
  <cols>
    <col min="1" max="20" width="9" style="9" customWidth="1"/>
    <col min="21" max="16384" width="9" style="9"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sheetData>
  <sheetProtection algorithmName="SHA-512" hashValue="9MHyzjty7tCPmC2SACkuS4maeFILCA+5dw2An1tHRXhdoitYu8z8aStnseOJ3lh17uSLpZpPOKl0pMp6GomFZw==" saltValue="L1ety9XR1LKanznJZ5r5Qw==" spinCount="100000" sheet="1" selectLockedCells="1" selectUnlockedCell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8" tint="0.39997558519241921"/>
    <pageSetUpPr fitToPage="1"/>
  </sheetPr>
  <dimension ref="A1:N88"/>
  <sheetViews>
    <sheetView workbookViewId="0"/>
  </sheetViews>
  <sheetFormatPr defaultColWidth="0" defaultRowHeight="14.25" zeroHeight="1" x14ac:dyDescent="0.2"/>
  <cols>
    <col min="1" max="1" width="2.625" style="54" customWidth="1"/>
    <col min="2" max="2" width="29.5" style="111" customWidth="1"/>
    <col min="3" max="3" width="11.5" style="54" customWidth="1"/>
    <col min="4" max="4" width="11.625" style="54" customWidth="1"/>
    <col min="5" max="5" width="3.125" style="54" customWidth="1"/>
    <col min="6" max="6" width="0.625" style="54" customWidth="1"/>
    <col min="7" max="7" width="29.5" style="54" customWidth="1"/>
    <col min="8" max="8" width="22.625" style="54" customWidth="1"/>
    <col min="9" max="9" width="2.625" style="54" customWidth="1"/>
    <col min="10" max="10" width="6.125" style="54" hidden="1" customWidth="1"/>
    <col min="11" max="11" width="11" style="54" hidden="1" customWidth="1"/>
    <col min="12" max="12" width="4.875" style="54" hidden="1" customWidth="1"/>
    <col min="13" max="13" width="9" style="54" hidden="1" customWidth="1"/>
    <col min="14" max="14" width="19.125" style="54" hidden="1" customWidth="1"/>
    <col min="15" max="16384" width="15.625" style="54" hidden="1"/>
  </cols>
  <sheetData>
    <row r="1" spans="2:12" ht="15" x14ac:dyDescent="0.25">
      <c r="B1" s="60"/>
      <c r="C1" s="66"/>
      <c r="D1" s="66"/>
      <c r="E1" s="66"/>
      <c r="F1" s="66"/>
      <c r="G1" s="66"/>
      <c r="H1" s="66"/>
      <c r="J1" s="66"/>
      <c r="K1" s="66"/>
      <c r="L1" s="66"/>
    </row>
    <row r="2" spans="2:12" ht="15" customHeight="1" thickBot="1" x14ac:dyDescent="0.3">
      <c r="B2" s="475" t="s">
        <v>19</v>
      </c>
      <c r="C2" s="475"/>
      <c r="D2" s="475"/>
      <c r="E2" s="475"/>
      <c r="F2" s="475"/>
      <c r="G2" s="475"/>
      <c r="H2" s="475"/>
      <c r="J2" s="66"/>
      <c r="K2" s="66"/>
      <c r="L2" s="66"/>
    </row>
    <row r="3" spans="2:12" ht="15" customHeight="1" thickBot="1" x14ac:dyDescent="0.3">
      <c r="B3" s="48" t="s">
        <v>204</v>
      </c>
      <c r="C3" s="476">
        <f>'Entry Sheet'!C3</f>
        <v>0</v>
      </c>
      <c r="D3" s="477"/>
      <c r="E3" s="78"/>
      <c r="F3" s="78"/>
      <c r="G3" s="48" t="s">
        <v>205</v>
      </c>
      <c r="H3" s="160">
        <f>'Entry Sheet'!D10</f>
        <v>0</v>
      </c>
      <c r="J3" s="80"/>
      <c r="K3" s="66"/>
      <c r="L3" s="66"/>
    </row>
    <row r="4" spans="2:12" ht="15" customHeight="1" thickBot="1" x14ac:dyDescent="0.3">
      <c r="B4" s="48" t="s">
        <v>206</v>
      </c>
      <c r="C4" s="478">
        <f>'Entry Sheet'!C4</f>
        <v>0</v>
      </c>
      <c r="D4" s="479"/>
      <c r="E4" s="78"/>
      <c r="F4" s="78"/>
      <c r="G4" s="48" t="s">
        <v>36</v>
      </c>
      <c r="H4" s="151">
        <f>'Entry Sheet'!D11</f>
        <v>0</v>
      </c>
      <c r="J4" s="80"/>
      <c r="K4" s="66"/>
      <c r="L4" s="66"/>
    </row>
    <row r="5" spans="2:12" ht="15" customHeight="1" thickBot="1" x14ac:dyDescent="0.3">
      <c r="B5" s="48" t="s">
        <v>207</v>
      </c>
      <c r="C5" s="473">
        <f>'Entry Sheet'!C5</f>
        <v>0</v>
      </c>
      <c r="D5" s="474"/>
      <c r="E5" s="82"/>
      <c r="F5" s="82"/>
      <c r="G5" s="48" t="s">
        <v>38</v>
      </c>
      <c r="H5" s="151">
        <f>'Entry Sheet'!D12</f>
        <v>0</v>
      </c>
      <c r="J5" s="66"/>
      <c r="K5" s="66"/>
      <c r="L5" s="66"/>
    </row>
    <row r="6" spans="2:12" ht="15" customHeight="1" thickBot="1" x14ac:dyDescent="0.3">
      <c r="B6" s="48" t="s">
        <v>208</v>
      </c>
      <c r="C6" s="473" t="str">
        <f>'Entry Sheet'!C6</f>
        <v>California</v>
      </c>
      <c r="D6" s="474"/>
      <c r="E6" s="82"/>
      <c r="F6" s="82"/>
      <c r="G6" s="48" t="s">
        <v>209</v>
      </c>
      <c r="H6" s="79">
        <f>'Entry Sheet'!C16</f>
        <v>0</v>
      </c>
      <c r="J6" s="66"/>
      <c r="K6" s="66"/>
      <c r="L6" s="66"/>
    </row>
    <row r="7" spans="2:12" ht="15" customHeight="1" thickBot="1" x14ac:dyDescent="0.3">
      <c r="B7" s="48" t="s">
        <v>210</v>
      </c>
      <c r="C7" s="473">
        <f>'Entry Sheet'!C7</f>
        <v>0</v>
      </c>
      <c r="D7" s="474"/>
      <c r="E7" s="82"/>
      <c r="F7" s="82"/>
      <c r="G7" s="48" t="s">
        <v>211</v>
      </c>
      <c r="H7" s="81">
        <f>'Entry Sheet'!C18</f>
        <v>0</v>
      </c>
      <c r="I7" s="86"/>
      <c r="J7" s="80"/>
      <c r="K7" s="66"/>
      <c r="L7" s="66"/>
    </row>
    <row r="8" spans="2:12" ht="15" customHeight="1" thickBot="1" x14ac:dyDescent="0.3">
      <c r="B8" s="48" t="s">
        <v>34</v>
      </c>
      <c r="C8" s="473">
        <f>'Entry Sheet'!C8</f>
        <v>0</v>
      </c>
      <c r="D8" s="474"/>
      <c r="E8" s="82"/>
      <c r="F8" s="82"/>
      <c r="G8" s="48" t="s">
        <v>212</v>
      </c>
      <c r="H8" s="83">
        <f>'Entry Sheet'!C19</f>
        <v>0</v>
      </c>
      <c r="I8" s="87"/>
      <c r="J8" s="66"/>
      <c r="K8" s="66"/>
      <c r="L8" s="66"/>
    </row>
    <row r="9" spans="2:12" ht="15" customHeight="1" thickBot="1" x14ac:dyDescent="0.3">
      <c r="B9" s="48" t="s">
        <v>213</v>
      </c>
      <c r="C9" s="470">
        <f>'Entry Sheet'!C10</f>
        <v>0</v>
      </c>
      <c r="D9" s="471"/>
      <c r="E9" s="88"/>
      <c r="F9" s="89"/>
      <c r="G9" s="84" t="s">
        <v>214</v>
      </c>
      <c r="H9" s="85">
        <f>Calculations!H15</f>
        <v>0</v>
      </c>
      <c r="I9" s="66"/>
      <c r="J9" s="66"/>
      <c r="K9" s="66"/>
      <c r="L9" s="66"/>
    </row>
    <row r="10" spans="2:12" ht="15" customHeight="1" x14ac:dyDescent="0.25">
      <c r="B10" s="54"/>
      <c r="E10" s="88"/>
      <c r="F10" s="89"/>
      <c r="G10" s="66"/>
      <c r="H10" s="66"/>
      <c r="I10" s="66"/>
      <c r="J10" s="66"/>
      <c r="K10" s="66"/>
      <c r="L10" s="66"/>
    </row>
    <row r="11" spans="2:12" ht="15" customHeight="1" thickBot="1" x14ac:dyDescent="0.3">
      <c r="B11" s="149" t="s">
        <v>215</v>
      </c>
      <c r="C11" s="149"/>
      <c r="D11" s="149"/>
      <c r="K11" s="66"/>
      <c r="L11" s="66"/>
    </row>
    <row r="12" spans="2:12" ht="15" customHeight="1" thickBot="1" x14ac:dyDescent="0.3">
      <c r="B12" s="90"/>
      <c r="C12" s="91" t="s">
        <v>23</v>
      </c>
      <c r="D12" s="92" t="s">
        <v>24</v>
      </c>
      <c r="K12" s="66"/>
      <c r="L12" s="66"/>
    </row>
    <row r="13" spans="2:12" ht="15" customHeight="1" thickBot="1" x14ac:dyDescent="0.3">
      <c r="B13" s="48" t="s">
        <v>216</v>
      </c>
      <c r="C13" s="221">
        <f>'Entry Sheet'!C32</f>
        <v>0</v>
      </c>
      <c r="D13" s="93">
        <f>'Entry Sheet'!D32</f>
        <v>0</v>
      </c>
      <c r="K13" s="66"/>
      <c r="L13" s="66"/>
    </row>
    <row r="14" spans="2:12" ht="15" customHeight="1" thickBot="1" x14ac:dyDescent="0.3">
      <c r="B14" s="48" t="s">
        <v>217</v>
      </c>
      <c r="C14" s="95">
        <f>Calculations!G13</f>
        <v>0</v>
      </c>
      <c r="D14" s="96">
        <f>Calculations!H13</f>
        <v>0</v>
      </c>
      <c r="K14" s="66"/>
      <c r="L14" s="66"/>
    </row>
    <row r="15" spans="2:12" ht="15" customHeight="1" thickBot="1" x14ac:dyDescent="0.3">
      <c r="B15" s="48" t="s">
        <v>218</v>
      </c>
      <c r="C15" s="98">
        <f>Calculations!G14</f>
        <v>0</v>
      </c>
      <c r="D15" s="99">
        <f>Calculations!H14</f>
        <v>0</v>
      </c>
      <c r="K15" s="66"/>
      <c r="L15" s="66"/>
    </row>
    <row r="16" spans="2:12" ht="15" customHeight="1" thickBot="1" x14ac:dyDescent="0.3">
      <c r="B16" s="48" t="s">
        <v>219</v>
      </c>
      <c r="C16" s="94">
        <f>'Entry Sheet'!H32</f>
        <v>62.5</v>
      </c>
      <c r="D16" s="150">
        <f>'Entry Sheet'!I32</f>
        <v>62.5</v>
      </c>
      <c r="K16" s="66"/>
      <c r="L16" s="66"/>
    </row>
    <row r="17" spans="2:12" ht="15" customHeight="1" thickBot="1" x14ac:dyDescent="0.3">
      <c r="B17" s="48" t="s">
        <v>220</v>
      </c>
      <c r="C17" s="97">
        <f>'Entry Sheet'!H36</f>
        <v>125</v>
      </c>
      <c r="D17" s="97">
        <f>'Entry Sheet'!I36</f>
        <v>125</v>
      </c>
      <c r="K17" s="66"/>
      <c r="L17" s="66"/>
    </row>
    <row r="18" spans="2:12" ht="15" customHeight="1" thickBot="1" x14ac:dyDescent="0.3">
      <c r="B18" s="48" t="s">
        <v>221</v>
      </c>
      <c r="C18" s="480">
        <f>'Entry Sheet'!G36</f>
        <v>30</v>
      </c>
      <c r="D18" s="481"/>
      <c r="K18" s="66"/>
      <c r="L18" s="66"/>
    </row>
    <row r="19" spans="2:12" ht="15" customHeight="1" thickBot="1" x14ac:dyDescent="0.3">
      <c r="B19" s="48" t="s">
        <v>222</v>
      </c>
      <c r="C19" s="482" t="str">
        <f>'Entry Sheet'!$G$39</f>
        <v>None</v>
      </c>
      <c r="D19" s="483"/>
      <c r="E19" s="66"/>
      <c r="F19" s="100"/>
      <c r="G19" s="66"/>
      <c r="H19" s="66"/>
      <c r="I19" s="66"/>
      <c r="J19" s="66"/>
      <c r="K19" s="66"/>
      <c r="L19" s="66"/>
    </row>
    <row r="20" spans="2:12" ht="15" customHeight="1" x14ac:dyDescent="0.25">
      <c r="B20" s="58"/>
      <c r="C20" s="66"/>
      <c r="D20" s="66"/>
      <c r="E20" s="66"/>
      <c r="F20" s="66"/>
      <c r="G20" s="101"/>
      <c r="H20" s="102"/>
      <c r="I20" s="102"/>
      <c r="J20" s="66"/>
      <c r="K20" s="66"/>
      <c r="L20" s="66"/>
    </row>
    <row r="21" spans="2:12" ht="15" customHeight="1" x14ac:dyDescent="0.25">
      <c r="B21" s="90"/>
      <c r="C21" s="66"/>
      <c r="D21" s="66"/>
      <c r="E21" s="66"/>
      <c r="F21" s="66"/>
      <c r="G21" s="101"/>
      <c r="H21" s="66"/>
      <c r="I21" s="66"/>
      <c r="J21" s="66"/>
      <c r="K21" s="66"/>
      <c r="L21" s="66"/>
    </row>
    <row r="22" spans="2:12" ht="15" customHeight="1" thickBot="1" x14ac:dyDescent="0.3">
      <c r="B22" s="472" t="s">
        <v>223</v>
      </c>
      <c r="C22" s="472"/>
      <c r="D22" s="472"/>
      <c r="E22" s="220"/>
      <c r="F22" s="472" t="s">
        <v>224</v>
      </c>
      <c r="G22" s="472"/>
      <c r="H22" s="472"/>
      <c r="J22" s="66"/>
      <c r="K22" s="66"/>
      <c r="L22" s="66"/>
    </row>
    <row r="23" spans="2:12" ht="15" customHeight="1" thickBot="1" x14ac:dyDescent="0.3">
      <c r="B23" s="48" t="s">
        <v>64</v>
      </c>
      <c r="C23" s="484">
        <f>'Entry Sheet'!C36</f>
        <v>0</v>
      </c>
      <c r="D23" s="485"/>
      <c r="E23" s="486"/>
      <c r="F23" s="66"/>
      <c r="G23" s="48" t="s">
        <v>64</v>
      </c>
      <c r="H23" s="103">
        <f>'Entry Sheet'!C46</f>
        <v>0</v>
      </c>
      <c r="J23" s="66"/>
      <c r="K23" s="66"/>
      <c r="L23" s="66"/>
    </row>
    <row r="24" spans="2:12" ht="15" customHeight="1" thickBot="1" x14ac:dyDescent="0.3">
      <c r="B24" s="48" t="s">
        <v>65</v>
      </c>
      <c r="C24" s="484">
        <f>'Entry Sheet'!C37</f>
        <v>0</v>
      </c>
      <c r="D24" s="485"/>
      <c r="E24" s="486"/>
      <c r="F24" s="66"/>
      <c r="G24" s="48" t="s">
        <v>65</v>
      </c>
      <c r="H24" s="103">
        <f>'Entry Sheet'!C47</f>
        <v>0</v>
      </c>
      <c r="J24" s="66"/>
      <c r="K24" s="66"/>
      <c r="L24" s="66"/>
    </row>
    <row r="25" spans="2:12" ht="15" customHeight="1" thickBot="1" x14ac:dyDescent="0.3">
      <c r="B25" s="48" t="s">
        <v>66</v>
      </c>
      <c r="C25" s="484">
        <f>'Entry Sheet'!C38</f>
        <v>0</v>
      </c>
      <c r="D25" s="485"/>
      <c r="E25" s="486"/>
      <c r="F25" s="66"/>
      <c r="G25" s="48" t="s">
        <v>66</v>
      </c>
      <c r="H25" s="103">
        <f>'Entry Sheet'!C48</f>
        <v>0</v>
      </c>
      <c r="J25" s="66"/>
      <c r="K25" s="66"/>
      <c r="L25" s="66"/>
    </row>
    <row r="26" spans="2:12" ht="15" customHeight="1" thickBot="1" x14ac:dyDescent="0.3">
      <c r="B26" s="48" t="s">
        <v>68</v>
      </c>
      <c r="C26" s="484">
        <f>'Entry Sheet'!C39</f>
        <v>0</v>
      </c>
      <c r="D26" s="485"/>
      <c r="E26" s="486"/>
      <c r="F26" s="66"/>
      <c r="G26" s="48" t="s">
        <v>68</v>
      </c>
      <c r="H26" s="103">
        <f>'Entry Sheet'!C49</f>
        <v>0</v>
      </c>
      <c r="J26" s="66"/>
      <c r="K26" s="66"/>
      <c r="L26" s="66"/>
    </row>
    <row r="27" spans="2:12" ht="15" customHeight="1" thickBot="1" x14ac:dyDescent="0.3">
      <c r="B27" s="48" t="s">
        <v>70</v>
      </c>
      <c r="C27" s="496" t="str">
        <f>'Entry Sheet'!C40</f>
        <v>Enter CFM25 Result</v>
      </c>
      <c r="D27" s="497"/>
      <c r="E27" s="498"/>
      <c r="F27" s="66"/>
      <c r="G27" s="48" t="s">
        <v>70</v>
      </c>
      <c r="H27" s="104" t="str">
        <f>'Entry Sheet'!C50</f>
        <v>Enter 2nd CFM25 Result</v>
      </c>
      <c r="J27" s="66"/>
      <c r="K27" s="66"/>
      <c r="L27" s="66"/>
    </row>
    <row r="28" spans="2:12" ht="15" customHeight="1" thickBot="1" x14ac:dyDescent="0.3">
      <c r="B28" s="48" t="s">
        <v>1609</v>
      </c>
      <c r="C28" s="496" t="str">
        <f>'Entry Sheet'!$C$42</f>
        <v>Enter CFM25 Result</v>
      </c>
      <c r="D28" s="497"/>
      <c r="E28" s="498"/>
      <c r="F28" s="66"/>
      <c r="G28" s="48" t="s">
        <v>73</v>
      </c>
      <c r="H28" s="104" t="str">
        <f>'Entry Sheet'!C51</f>
        <v>Enter 2nd CFM25 Result</v>
      </c>
      <c r="J28" s="66"/>
      <c r="K28" s="66"/>
      <c r="L28" s="66"/>
    </row>
    <row r="29" spans="2:12" ht="15" customHeight="1" thickBot="1" x14ac:dyDescent="0.3">
      <c r="B29"/>
      <c r="C29"/>
      <c r="D29"/>
      <c r="E29"/>
      <c r="F29" s="66"/>
      <c r="G29" s="48" t="s">
        <v>1609</v>
      </c>
      <c r="H29" s="104" t="str">
        <f>'Entry Sheet'!$C$53</f>
        <v>Enter 2nd CFM25 Result</v>
      </c>
      <c r="J29" s="66"/>
      <c r="K29" s="66"/>
      <c r="L29" s="66"/>
    </row>
    <row r="30" spans="2:12" ht="15" customHeight="1" x14ac:dyDescent="0.25">
      <c r="B30" s="66"/>
      <c r="C30" s="66"/>
      <c r="D30" s="66"/>
      <c r="E30" s="66"/>
      <c r="F30" s="66"/>
      <c r="G30" s="66"/>
      <c r="H30" s="66"/>
      <c r="J30" s="66"/>
      <c r="K30" s="66"/>
      <c r="L30" s="66"/>
    </row>
    <row r="31" spans="2:12" ht="18" customHeight="1" thickBot="1" x14ac:dyDescent="0.3">
      <c r="B31" s="499" t="s">
        <v>225</v>
      </c>
      <c r="C31" s="499"/>
      <c r="D31" s="499"/>
      <c r="E31" s="499"/>
      <c r="F31" s="499"/>
      <c r="G31" s="499"/>
      <c r="H31" s="499"/>
      <c r="J31" s="66"/>
      <c r="K31" s="66"/>
      <c r="L31" s="66"/>
    </row>
    <row r="32" spans="2:12" ht="15" customHeight="1" thickBot="1" x14ac:dyDescent="0.3">
      <c r="B32" s="105" t="s">
        <v>226</v>
      </c>
      <c r="C32" s="518" t="s">
        <v>227</v>
      </c>
      <c r="D32" s="519"/>
      <c r="E32" s="106"/>
      <c r="F32" s="106"/>
      <c r="G32" s="105" t="s">
        <v>228</v>
      </c>
      <c r="H32" s="107" t="s">
        <v>229</v>
      </c>
      <c r="J32" s="66"/>
      <c r="K32" s="66"/>
      <c r="L32" s="66"/>
    </row>
    <row r="33" spans="2:12" ht="15" customHeight="1" thickBot="1" x14ac:dyDescent="0.3">
      <c r="B33" s="490" t="s">
        <v>87</v>
      </c>
      <c r="C33" s="491"/>
      <c r="D33" s="491"/>
      <c r="E33" s="491"/>
      <c r="F33" s="491"/>
      <c r="G33" s="491"/>
      <c r="H33" s="492"/>
      <c r="J33" s="66"/>
      <c r="K33" s="66"/>
      <c r="L33" s="66"/>
    </row>
    <row r="34" spans="2:12" ht="15" hidden="1" customHeight="1" thickBot="1" x14ac:dyDescent="0.3">
      <c r="B34" s="487" t="e">
        <f>'Entry Sheet'!#REF!</f>
        <v>#REF!</v>
      </c>
      <c r="C34" s="487" t="e">
        <f>'Entry Sheet'!#REF!</f>
        <v>#REF!</v>
      </c>
      <c r="D34" s="487"/>
      <c r="E34" s="487"/>
      <c r="F34" s="487"/>
      <c r="G34" s="487" t="e">
        <f>'Entry Sheet'!#REF!</f>
        <v>#REF!</v>
      </c>
      <c r="H34" s="487" t="e">
        <f>'Entry Sheet'!#REF!</f>
        <v>#REF!</v>
      </c>
      <c r="J34" s="66"/>
      <c r="K34" s="66"/>
      <c r="L34" s="66"/>
    </row>
    <row r="35" spans="2:12" ht="24.95" hidden="1" customHeight="1" x14ac:dyDescent="0.25">
      <c r="B35" s="488"/>
      <c r="C35" s="488"/>
      <c r="D35" s="488"/>
      <c r="E35" s="488"/>
      <c r="F35" s="488"/>
      <c r="G35" s="488"/>
      <c r="H35" s="488"/>
      <c r="J35" s="66"/>
      <c r="K35" s="66"/>
      <c r="L35" s="66"/>
    </row>
    <row r="36" spans="2:12" ht="24.95" hidden="1" customHeight="1" x14ac:dyDescent="0.25">
      <c r="B36" s="489"/>
      <c r="C36" s="489"/>
      <c r="D36" s="489"/>
      <c r="E36" s="489"/>
      <c r="F36" s="489"/>
      <c r="G36" s="489"/>
      <c r="H36" s="489"/>
      <c r="J36" s="66"/>
      <c r="K36" s="66"/>
      <c r="L36" s="66"/>
    </row>
    <row r="37" spans="2:12" ht="24.95" hidden="1" customHeight="1" thickBot="1" x14ac:dyDescent="0.3">
      <c r="B37" s="493" t="s">
        <v>88</v>
      </c>
      <c r="C37" s="494"/>
      <c r="D37" s="494"/>
      <c r="E37" s="494"/>
      <c r="F37" s="494"/>
      <c r="G37" s="494"/>
      <c r="H37" s="495"/>
      <c r="J37" s="66"/>
      <c r="K37" s="66"/>
      <c r="L37" s="66"/>
    </row>
    <row r="38" spans="2:12" ht="15" customHeight="1" x14ac:dyDescent="0.25">
      <c r="B38" s="487" t="str">
        <f>'Entry Sheet'!K72</f>
        <v>Input CAZ Zone</v>
      </c>
      <c r="C38" s="487" t="str">
        <f>'Entry Sheet'!K76</f>
        <v>Input CAZ Zone</v>
      </c>
      <c r="D38" s="487"/>
      <c r="E38" s="487"/>
      <c r="F38" s="487"/>
      <c r="G38" s="487" t="str">
        <f>'Entry Sheet'!K80</f>
        <v>Input CAZ Zone</v>
      </c>
      <c r="H38" s="487" t="str">
        <f>'Entry Sheet'!K84</f>
        <v>Input CAZ Zone</v>
      </c>
      <c r="J38" s="66"/>
      <c r="K38" s="66"/>
      <c r="L38" s="66"/>
    </row>
    <row r="39" spans="2:12" ht="30" customHeight="1" x14ac:dyDescent="0.25">
      <c r="B39" s="488"/>
      <c r="C39" s="488"/>
      <c r="D39" s="488"/>
      <c r="E39" s="488"/>
      <c r="F39" s="488"/>
      <c r="G39" s="488"/>
      <c r="H39" s="488"/>
      <c r="J39" s="66"/>
      <c r="K39" s="66"/>
      <c r="L39" s="66"/>
    </row>
    <row r="40" spans="2:12" ht="30" customHeight="1" x14ac:dyDescent="0.25">
      <c r="B40" s="488"/>
      <c r="C40" s="488"/>
      <c r="D40" s="488"/>
      <c r="E40" s="488"/>
      <c r="F40" s="488"/>
      <c r="G40" s="488"/>
      <c r="H40" s="488"/>
      <c r="J40" s="66"/>
      <c r="K40" s="66"/>
      <c r="L40" s="66"/>
    </row>
    <row r="41" spans="2:12" ht="30" customHeight="1" thickBot="1" x14ac:dyDescent="0.3">
      <c r="B41" s="108"/>
      <c r="C41" s="108"/>
      <c r="D41" s="108"/>
      <c r="E41" s="108"/>
      <c r="F41" s="108"/>
      <c r="G41" s="108"/>
      <c r="H41" s="108"/>
      <c r="J41" s="66"/>
      <c r="K41" s="66"/>
      <c r="L41" s="66"/>
    </row>
    <row r="42" spans="2:12" ht="18.75" customHeight="1" thickBot="1" x14ac:dyDescent="0.3">
      <c r="B42" s="518" t="s">
        <v>1578</v>
      </c>
      <c r="C42" s="519"/>
      <c r="D42" s="519"/>
      <c r="E42" s="519"/>
      <c r="F42" s="519"/>
      <c r="G42" s="520" t="s">
        <v>98</v>
      </c>
      <c r="H42" s="521"/>
      <c r="J42" s="66"/>
      <c r="K42" s="66"/>
      <c r="L42" s="233"/>
    </row>
    <row r="43" spans="2:12" ht="15" customHeight="1" x14ac:dyDescent="0.25">
      <c r="B43" s="531" t="s">
        <v>88</v>
      </c>
      <c r="C43" s="532"/>
      <c r="D43" s="532"/>
      <c r="E43" s="532"/>
      <c r="F43" s="533"/>
      <c r="G43" s="191" t="s">
        <v>87</v>
      </c>
      <c r="H43" s="192" t="s">
        <v>88</v>
      </c>
      <c r="J43" s="66"/>
      <c r="K43" s="66"/>
      <c r="L43" s="66"/>
    </row>
    <row r="44" spans="2:12" ht="15" x14ac:dyDescent="0.25">
      <c r="B44" s="522" t="str">
        <f>'Entry Sheet'!G93</f>
        <v>Input Gas Line Testing Results</v>
      </c>
      <c r="C44" s="523"/>
      <c r="D44" s="523"/>
      <c r="E44" s="523"/>
      <c r="F44" s="524"/>
      <c r="G44" s="234" t="str">
        <f>'Entry Sheet'!D97</f>
        <v>Select One</v>
      </c>
      <c r="H44" s="235">
        <f>'Entry Sheet'!E97</f>
        <v>0</v>
      </c>
      <c r="L44" s="66"/>
    </row>
    <row r="45" spans="2:12" ht="20.100000000000001" customHeight="1" x14ac:dyDescent="0.25">
      <c r="B45" s="525"/>
      <c r="C45" s="526"/>
      <c r="D45" s="526"/>
      <c r="E45" s="526"/>
      <c r="F45" s="527"/>
      <c r="H45" s="66"/>
      <c r="J45" s="66"/>
      <c r="K45" s="66"/>
      <c r="L45" s="66"/>
    </row>
    <row r="46" spans="2:12" ht="20.100000000000001" customHeight="1" x14ac:dyDescent="0.25">
      <c r="B46" s="525"/>
      <c r="C46" s="526"/>
      <c r="D46" s="526"/>
      <c r="E46" s="526"/>
      <c r="F46" s="527"/>
      <c r="H46" s="66"/>
      <c r="J46" s="66"/>
      <c r="K46" s="66"/>
      <c r="L46" s="66"/>
    </row>
    <row r="47" spans="2:12" ht="20.100000000000001" customHeight="1" x14ac:dyDescent="0.25">
      <c r="B47" s="528"/>
      <c r="C47" s="529"/>
      <c r="D47" s="529"/>
      <c r="E47" s="529"/>
      <c r="F47" s="530"/>
      <c r="H47" s="66"/>
      <c r="J47" s="66"/>
      <c r="K47" s="66"/>
      <c r="L47" s="66"/>
    </row>
    <row r="48" spans="2:12" ht="20.100000000000001" customHeight="1" x14ac:dyDescent="0.25">
      <c r="B48" s="54"/>
      <c r="H48" s="66"/>
      <c r="J48" s="66"/>
      <c r="K48" s="66"/>
      <c r="L48" s="66"/>
    </row>
    <row r="49" spans="2:12" ht="18" customHeight="1" thickBot="1" x14ac:dyDescent="0.3">
      <c r="B49" s="109" t="s">
        <v>230</v>
      </c>
      <c r="H49" s="66"/>
      <c r="I49" s="66"/>
      <c r="J49" s="66"/>
      <c r="K49" s="66"/>
      <c r="L49" s="66"/>
    </row>
    <row r="50" spans="2:12" ht="22.5" customHeight="1" thickBot="1" x14ac:dyDescent="0.3">
      <c r="B50" s="110" t="str">
        <f>'Incentive Estimate'!F5</f>
        <v>Not Eligible</v>
      </c>
      <c r="H50" s="66"/>
      <c r="I50" s="66"/>
      <c r="J50" s="66"/>
      <c r="K50" s="66"/>
      <c r="L50" s="66"/>
    </row>
    <row r="51" spans="2:12" ht="27" customHeight="1" x14ac:dyDescent="0.25">
      <c r="B51" s="54"/>
      <c r="H51" s="66"/>
      <c r="I51" s="66"/>
      <c r="J51" s="66"/>
      <c r="K51" s="66"/>
      <c r="L51" s="66"/>
    </row>
    <row r="52" spans="2:12" ht="15" customHeight="1" thickBot="1" x14ac:dyDescent="0.3">
      <c r="B52" s="66" t="s">
        <v>231</v>
      </c>
      <c r="H52" s="66"/>
      <c r="I52" s="66"/>
      <c r="J52" s="66"/>
      <c r="K52" s="66"/>
      <c r="L52" s="66"/>
    </row>
    <row r="53" spans="2:12" ht="15" customHeight="1" x14ac:dyDescent="0.25">
      <c r="B53" s="509">
        <f>'Entry Sheet'!$F$57</f>
        <v>0</v>
      </c>
      <c r="C53" s="510"/>
      <c r="D53" s="510"/>
      <c r="E53" s="510"/>
      <c r="F53" s="510"/>
      <c r="G53" s="510"/>
      <c r="H53" s="511"/>
      <c r="I53" s="66"/>
      <c r="J53" s="66"/>
      <c r="K53" s="66"/>
      <c r="L53" s="66"/>
    </row>
    <row r="54" spans="2:12" ht="15" customHeight="1" x14ac:dyDescent="0.25">
      <c r="B54" s="512"/>
      <c r="C54" s="513"/>
      <c r="D54" s="513"/>
      <c r="E54" s="513"/>
      <c r="F54" s="513"/>
      <c r="G54" s="513"/>
      <c r="H54" s="514"/>
      <c r="I54" s="66"/>
      <c r="J54" s="66"/>
      <c r="K54" s="66"/>
      <c r="L54" s="66"/>
    </row>
    <row r="55" spans="2:12" ht="15" customHeight="1" x14ac:dyDescent="0.25">
      <c r="B55" s="512"/>
      <c r="C55" s="513"/>
      <c r="D55" s="513"/>
      <c r="E55" s="513"/>
      <c r="F55" s="513"/>
      <c r="G55" s="513"/>
      <c r="H55" s="514"/>
      <c r="I55" s="66"/>
      <c r="J55" s="66"/>
      <c r="K55" s="66"/>
      <c r="L55" s="66"/>
    </row>
    <row r="56" spans="2:12" ht="15" customHeight="1" x14ac:dyDescent="0.25">
      <c r="B56" s="512"/>
      <c r="C56" s="513"/>
      <c r="D56" s="513"/>
      <c r="E56" s="513"/>
      <c r="F56" s="513"/>
      <c r="G56" s="513"/>
      <c r="H56" s="514"/>
      <c r="I56" s="66"/>
      <c r="J56" s="66"/>
      <c r="K56" s="66"/>
      <c r="L56" s="66"/>
    </row>
    <row r="57" spans="2:12" ht="15" customHeight="1" x14ac:dyDescent="0.2">
      <c r="B57" s="512"/>
      <c r="C57" s="513"/>
      <c r="D57" s="513"/>
      <c r="E57" s="513"/>
      <c r="F57" s="513"/>
      <c r="G57" s="513"/>
      <c r="H57" s="514"/>
    </row>
    <row r="58" spans="2:12" ht="15" customHeight="1" x14ac:dyDescent="0.2">
      <c r="B58" s="512"/>
      <c r="C58" s="513"/>
      <c r="D58" s="513"/>
      <c r="E58" s="513"/>
      <c r="F58" s="513"/>
      <c r="G58" s="513"/>
      <c r="H58" s="514"/>
    </row>
    <row r="59" spans="2:12" ht="15" customHeight="1" thickBot="1" x14ac:dyDescent="0.25">
      <c r="B59" s="515"/>
      <c r="C59" s="516"/>
      <c r="D59" s="516"/>
      <c r="E59" s="516"/>
      <c r="F59" s="516"/>
      <c r="G59" s="516"/>
      <c r="H59" s="517"/>
    </row>
    <row r="60" spans="2:12" ht="15" customHeight="1" x14ac:dyDescent="0.2"/>
    <row r="61" spans="2:12" ht="15" customHeight="1" thickBot="1" x14ac:dyDescent="0.25">
      <c r="B61" s="48" t="s">
        <v>232</v>
      </c>
    </row>
    <row r="62" spans="2:12" ht="15" customHeight="1" x14ac:dyDescent="0.2">
      <c r="B62" s="500">
        <f>'Entry Sheet'!$F$100</f>
        <v>0</v>
      </c>
      <c r="C62" s="501"/>
      <c r="D62" s="501"/>
      <c r="E62" s="501"/>
      <c r="F62" s="501"/>
      <c r="G62" s="501"/>
      <c r="H62" s="502"/>
    </row>
    <row r="63" spans="2:12" ht="15" customHeight="1" x14ac:dyDescent="0.2">
      <c r="B63" s="503"/>
      <c r="C63" s="504"/>
      <c r="D63" s="504"/>
      <c r="E63" s="504"/>
      <c r="F63" s="504"/>
      <c r="G63" s="504"/>
      <c r="H63" s="505"/>
    </row>
    <row r="64" spans="2:12" ht="15" customHeight="1" x14ac:dyDescent="0.2">
      <c r="B64" s="503"/>
      <c r="C64" s="504"/>
      <c r="D64" s="504"/>
      <c r="E64" s="504"/>
      <c r="F64" s="504"/>
      <c r="G64" s="504"/>
      <c r="H64" s="505"/>
    </row>
    <row r="65" spans="2:8" ht="15" customHeight="1" x14ac:dyDescent="0.2">
      <c r="B65" s="503"/>
      <c r="C65" s="504"/>
      <c r="D65" s="504"/>
      <c r="E65" s="504"/>
      <c r="F65" s="504"/>
      <c r="G65" s="504"/>
      <c r="H65" s="505"/>
    </row>
    <row r="66" spans="2:8" ht="15" customHeight="1" x14ac:dyDescent="0.2">
      <c r="B66" s="503"/>
      <c r="C66" s="504"/>
      <c r="D66" s="504"/>
      <c r="E66" s="504"/>
      <c r="F66" s="504"/>
      <c r="G66" s="504"/>
      <c r="H66" s="505"/>
    </row>
    <row r="67" spans="2:8" ht="15" customHeight="1" x14ac:dyDescent="0.2">
      <c r="B67" s="503"/>
      <c r="C67" s="504"/>
      <c r="D67" s="504"/>
      <c r="E67" s="504"/>
      <c r="F67" s="504"/>
      <c r="G67" s="504"/>
      <c r="H67" s="505"/>
    </row>
    <row r="68" spans="2:8" ht="15" customHeight="1" thickBot="1" x14ac:dyDescent="0.25">
      <c r="B68" s="506"/>
      <c r="C68" s="507"/>
      <c r="D68" s="507"/>
      <c r="E68" s="507"/>
      <c r="F68" s="507"/>
      <c r="G68" s="507"/>
      <c r="H68" s="508"/>
    </row>
    <row r="69" spans="2:8" ht="15" customHeight="1" x14ac:dyDescent="0.2"/>
    <row r="70" spans="2:8" ht="15" customHeight="1" x14ac:dyDescent="0.2"/>
    <row r="71" spans="2:8" ht="15" hidden="1" customHeight="1" x14ac:dyDescent="0.2"/>
    <row r="72" spans="2:8" ht="15" hidden="1" customHeight="1" x14ac:dyDescent="0.2"/>
    <row r="73" spans="2:8" ht="15" hidden="1" customHeight="1" x14ac:dyDescent="0.2"/>
    <row r="74" spans="2:8" ht="15" hidden="1" customHeight="1" x14ac:dyDescent="0.2"/>
    <row r="75" spans="2:8" ht="15" hidden="1" customHeight="1" x14ac:dyDescent="0.2"/>
    <row r="76" spans="2:8" ht="15" hidden="1" customHeight="1" x14ac:dyDescent="0.2"/>
    <row r="77" spans="2:8" ht="15" hidden="1" customHeight="1" x14ac:dyDescent="0.2"/>
    <row r="78" spans="2:8" ht="15" hidden="1" customHeight="1" x14ac:dyDescent="0.2"/>
    <row r="79" spans="2:8" ht="15" hidden="1" customHeight="1" x14ac:dyDescent="0.2"/>
    <row r="80" spans="2:8"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sheetData>
  <sheetProtection algorithmName="SHA-512" hashValue="l9T+syhTss7MkNlgJIKelq5yg9kjmoFTmB2Oa3Mzi0gqEd5jbQWdPTSDplqERfy81/JyB1FSITKfm/1QbB9buw==" saltValue="UwMDJkKUNiBAmEav6g6xpQ==" spinCount="100000" sheet="1" selectLockedCells="1" selectUnlockedCells="1"/>
  <mergeCells count="36">
    <mergeCell ref="B62:H68"/>
    <mergeCell ref="B53:H59"/>
    <mergeCell ref="B42:F42"/>
    <mergeCell ref="G42:H42"/>
    <mergeCell ref="C32:D32"/>
    <mergeCell ref="B44:F47"/>
    <mergeCell ref="B43:F43"/>
    <mergeCell ref="B34:B36"/>
    <mergeCell ref="B38:B40"/>
    <mergeCell ref="H38:H40"/>
    <mergeCell ref="H34:H36"/>
    <mergeCell ref="C23:E23"/>
    <mergeCell ref="C24:E24"/>
    <mergeCell ref="C25:E25"/>
    <mergeCell ref="C34:F36"/>
    <mergeCell ref="G38:G40"/>
    <mergeCell ref="C38:F40"/>
    <mergeCell ref="B33:H33"/>
    <mergeCell ref="B37:H37"/>
    <mergeCell ref="G34:G36"/>
    <mergeCell ref="C26:E26"/>
    <mergeCell ref="C27:E27"/>
    <mergeCell ref="C28:E28"/>
    <mergeCell ref="B31:H31"/>
    <mergeCell ref="C9:D9"/>
    <mergeCell ref="B22:D22"/>
    <mergeCell ref="C7:D7"/>
    <mergeCell ref="C8:D8"/>
    <mergeCell ref="B2:H2"/>
    <mergeCell ref="C3:D3"/>
    <mergeCell ref="C4:D4"/>
    <mergeCell ref="C5:D5"/>
    <mergeCell ref="C6:D6"/>
    <mergeCell ref="F22:H22"/>
    <mergeCell ref="C18:D18"/>
    <mergeCell ref="C19:D19"/>
  </mergeCells>
  <conditionalFormatting sqref="C3">
    <cfRule type="containsBlanks" dxfId="39" priority="55">
      <formula>LEN(TRIM(C3))=0</formula>
    </cfRule>
  </conditionalFormatting>
  <conditionalFormatting sqref="C4">
    <cfRule type="containsBlanks" dxfId="38" priority="52">
      <formula>LEN(TRIM(C4))=0</formula>
    </cfRule>
  </conditionalFormatting>
  <conditionalFormatting sqref="C5">
    <cfRule type="containsBlanks" dxfId="37" priority="51">
      <formula>LEN(TRIM(C5))=0</formula>
    </cfRule>
  </conditionalFormatting>
  <conditionalFormatting sqref="C7">
    <cfRule type="containsBlanks" dxfId="36" priority="50">
      <formula>LEN(TRIM(C7))=0</formula>
    </cfRule>
  </conditionalFormatting>
  <conditionalFormatting sqref="C19">
    <cfRule type="containsBlanks" dxfId="35" priority="49">
      <formula>LEN(TRIM(C19))=0</formula>
    </cfRule>
  </conditionalFormatting>
  <conditionalFormatting sqref="B34">
    <cfRule type="containsText" dxfId="34" priority="36" operator="containsText" text="Fail">
      <formula>NOT(ISERROR(SEARCH("Fail",B34)))</formula>
    </cfRule>
    <cfRule type="containsText" dxfId="33" priority="37" operator="containsText" text="Recommend">
      <formula>NOT(ISERROR(SEARCH("Recommend",B34)))</formula>
    </cfRule>
  </conditionalFormatting>
  <conditionalFormatting sqref="B34">
    <cfRule type="containsText" dxfId="32" priority="38" operator="containsText" text="pass">
      <formula>NOT(ISERROR(SEARCH("pass",B34)))</formula>
    </cfRule>
  </conditionalFormatting>
  <conditionalFormatting sqref="C34">
    <cfRule type="containsText" dxfId="31" priority="33" operator="containsText" text="Fail">
      <formula>NOT(ISERROR(SEARCH("Fail",C34)))</formula>
    </cfRule>
    <cfRule type="containsText" dxfId="30" priority="34" operator="containsText" text="Recommend">
      <formula>NOT(ISERROR(SEARCH("Recommend",C34)))</formula>
    </cfRule>
  </conditionalFormatting>
  <conditionalFormatting sqref="C34">
    <cfRule type="containsText" dxfId="29" priority="35" operator="containsText" text="pass">
      <formula>NOT(ISERROR(SEARCH("pass",C34)))</formula>
    </cfRule>
  </conditionalFormatting>
  <conditionalFormatting sqref="G34">
    <cfRule type="containsText" dxfId="28" priority="30" operator="containsText" text="Fail">
      <formula>NOT(ISERROR(SEARCH("Fail",G34)))</formula>
    </cfRule>
    <cfRule type="containsText" dxfId="27" priority="31" operator="containsText" text="Recommend">
      <formula>NOT(ISERROR(SEARCH("Recommend",G34)))</formula>
    </cfRule>
  </conditionalFormatting>
  <conditionalFormatting sqref="G34">
    <cfRule type="containsText" dxfId="26" priority="32" operator="containsText" text="pass">
      <formula>NOT(ISERROR(SEARCH("pass",G34)))</formula>
    </cfRule>
  </conditionalFormatting>
  <conditionalFormatting sqref="H34">
    <cfRule type="containsText" dxfId="25" priority="27" operator="containsText" text="Fail">
      <formula>NOT(ISERROR(SEARCH("Fail",H34)))</formula>
    </cfRule>
    <cfRule type="containsText" dxfId="24" priority="28" operator="containsText" text="Recommend">
      <formula>NOT(ISERROR(SEARCH("Recommend",H34)))</formula>
    </cfRule>
  </conditionalFormatting>
  <conditionalFormatting sqref="H34">
    <cfRule type="containsText" dxfId="23" priority="29" operator="containsText" text="pass">
      <formula>NOT(ISERROR(SEARCH("pass",H34)))</formula>
    </cfRule>
  </conditionalFormatting>
  <conditionalFormatting sqref="H38">
    <cfRule type="containsText" dxfId="22" priority="24" operator="containsText" text="Fail">
      <formula>NOT(ISERROR(SEARCH("Fail",H38)))</formula>
    </cfRule>
    <cfRule type="containsText" dxfId="21" priority="25" operator="containsText" text="Recommend">
      <formula>NOT(ISERROR(SEARCH("Recommend",H38)))</formula>
    </cfRule>
  </conditionalFormatting>
  <conditionalFormatting sqref="H38">
    <cfRule type="containsText" dxfId="20" priority="26" operator="containsText" text="pass">
      <formula>NOT(ISERROR(SEARCH("pass",H38)))</formula>
    </cfRule>
  </conditionalFormatting>
  <conditionalFormatting sqref="G38">
    <cfRule type="containsText" dxfId="19" priority="21" operator="containsText" text="Fail">
      <formula>NOT(ISERROR(SEARCH("Fail",G38)))</formula>
    </cfRule>
    <cfRule type="containsText" dxfId="18" priority="22" operator="containsText" text="Recommend">
      <formula>NOT(ISERROR(SEARCH("Recommend",G38)))</formula>
    </cfRule>
  </conditionalFormatting>
  <conditionalFormatting sqref="G38">
    <cfRule type="containsText" dxfId="17" priority="23" operator="containsText" text="pass">
      <formula>NOT(ISERROR(SEARCH("pass",G38)))</formula>
    </cfRule>
  </conditionalFormatting>
  <conditionalFormatting sqref="C38">
    <cfRule type="containsText" dxfId="16" priority="18" operator="containsText" text="Fail">
      <formula>NOT(ISERROR(SEARCH("Fail",C38)))</formula>
    </cfRule>
    <cfRule type="containsText" dxfId="15" priority="19" operator="containsText" text="Recommend">
      <formula>NOT(ISERROR(SEARCH("Recommend",C38)))</formula>
    </cfRule>
  </conditionalFormatting>
  <conditionalFormatting sqref="C38">
    <cfRule type="containsText" dxfId="14" priority="20" operator="containsText" text="pass">
      <formula>NOT(ISERROR(SEARCH("pass",C38)))</formula>
    </cfRule>
  </conditionalFormatting>
  <conditionalFormatting sqref="B38">
    <cfRule type="containsText" dxfId="13" priority="15" operator="containsText" text="Fail">
      <formula>NOT(ISERROR(SEARCH("Fail",B38)))</formula>
    </cfRule>
    <cfRule type="containsText" dxfId="12" priority="16" operator="containsText" text="Recommend">
      <formula>NOT(ISERROR(SEARCH("Recommend",B38)))</formula>
    </cfRule>
  </conditionalFormatting>
  <conditionalFormatting sqref="B38">
    <cfRule type="containsText" dxfId="11" priority="17" operator="containsText" text="pass">
      <formula>NOT(ISERROR(SEARCH("pass",B38)))</formula>
    </cfRule>
  </conditionalFormatting>
  <conditionalFormatting sqref="B44">
    <cfRule type="containsText" dxfId="10" priority="9" operator="containsText" text="Fail">
      <formula>NOT(ISERROR(SEARCH("Fail",B44)))</formula>
    </cfRule>
    <cfRule type="containsText" dxfId="9" priority="10" operator="containsText" text="Recommend">
      <formula>NOT(ISERROR(SEARCH("Recommend",B44)))</formula>
    </cfRule>
  </conditionalFormatting>
  <conditionalFormatting sqref="B44">
    <cfRule type="containsText" dxfId="8" priority="11" operator="containsText" text="pass">
      <formula>NOT(ISERROR(SEARCH("pass",B44)))</formula>
    </cfRule>
  </conditionalFormatting>
  <conditionalFormatting sqref="G44">
    <cfRule type="containsText" dxfId="7" priority="7" operator="containsText" text="FAIL">
      <formula>NOT(ISERROR(SEARCH("FAIL",G44)))</formula>
    </cfRule>
    <cfRule type="containsText" dxfId="6" priority="8" operator="containsText" text="PASS">
      <formula>NOT(ISERROR(SEARCH("PASS",G44)))</formula>
    </cfRule>
  </conditionalFormatting>
  <conditionalFormatting sqref="H44">
    <cfRule type="containsText" dxfId="5" priority="5" operator="containsText" text="FAIL">
      <formula>NOT(ISERROR(SEARCH("FAIL",H44)))</formula>
    </cfRule>
    <cfRule type="containsText" dxfId="4" priority="6" operator="containsText" text="PASS">
      <formula>NOT(ISERROR(SEARCH("PASS",H44)))</formula>
    </cfRule>
  </conditionalFormatting>
  <conditionalFormatting sqref="C28">
    <cfRule type="containsText" dxfId="3" priority="3" operator="containsText" text="Meets">
      <formula>NOT(ISERROR(SEARCH("Meets",C28)))</formula>
    </cfRule>
    <cfRule type="containsText" dxfId="2" priority="4" operator="containsText" text="Additional">
      <formula>NOT(ISERROR(SEARCH("Additional",C28)))</formula>
    </cfRule>
  </conditionalFormatting>
  <conditionalFormatting sqref="H29">
    <cfRule type="containsText" dxfId="1" priority="1" operator="containsText" text="Meets">
      <formula>NOT(ISERROR(SEARCH("Meets",H29)))</formula>
    </cfRule>
    <cfRule type="containsText" dxfId="0" priority="2" operator="containsText" text="Additional">
      <formula>NOT(ISERROR(SEARCH("Additional",H29)))</formula>
    </cfRule>
  </conditionalFormatting>
  <printOptions horizontalCentered="1"/>
  <pageMargins left="0.25" right="0.25" top="1.5277777777777777E-2" bottom="0.25" header="0" footer="0"/>
  <pageSetup scale="8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K42"/>
  <sheetViews>
    <sheetView workbookViewId="0"/>
  </sheetViews>
  <sheetFormatPr defaultColWidth="8.875" defaultRowHeight="14.25" x14ac:dyDescent="0.2"/>
  <cols>
    <col min="1" max="1" width="4" style="9" customWidth="1"/>
    <col min="2" max="2" width="28.5" customWidth="1"/>
    <col min="3" max="3" width="9.625" customWidth="1"/>
    <col min="4" max="4" width="10.125" customWidth="1"/>
    <col min="5" max="5" width="5.625" style="3" customWidth="1"/>
    <col min="6" max="6" width="23" customWidth="1"/>
    <col min="7" max="7" width="9.125" customWidth="1"/>
    <col min="8" max="8" width="10.625" customWidth="1"/>
    <col min="9" max="9" width="9.125" customWidth="1"/>
    <col min="10" max="10" width="5.875" customWidth="1"/>
    <col min="11" max="11" width="27.125" customWidth="1"/>
  </cols>
  <sheetData>
    <row r="1" spans="1:11" s="9" customFormat="1" ht="27.75" x14ac:dyDescent="0.2">
      <c r="A1" s="35" t="s">
        <v>233</v>
      </c>
      <c r="B1" s="36"/>
      <c r="C1" s="36"/>
      <c r="D1" s="36"/>
      <c r="E1" s="37"/>
      <c r="F1" s="36"/>
      <c r="G1" s="36"/>
      <c r="H1" s="36"/>
      <c r="I1" s="36"/>
    </row>
    <row r="2" spans="1:11" ht="23.25" x14ac:dyDescent="0.2">
      <c r="A2" s="38" t="s">
        <v>234</v>
      </c>
      <c r="B2" s="36"/>
      <c r="C2" s="39"/>
      <c r="D2" s="39"/>
      <c r="E2" s="40"/>
      <c r="F2" s="39"/>
      <c r="G2" s="39"/>
      <c r="H2" s="39"/>
      <c r="I2" s="39"/>
      <c r="J2" s="9"/>
      <c r="K2" s="9"/>
    </row>
    <row r="3" spans="1:11" s="9" customFormat="1" ht="14.25" customHeight="1" x14ac:dyDescent="0.2">
      <c r="A3" s="36"/>
      <c r="B3" s="41"/>
      <c r="C3" s="39"/>
      <c r="D3" s="39"/>
      <c r="E3" s="40"/>
      <c r="F3" s="39"/>
      <c r="G3" s="39"/>
      <c r="H3" s="39"/>
      <c r="I3" s="36"/>
    </row>
    <row r="4" spans="1:11" s="2" customFormat="1" ht="14.25" customHeight="1" x14ac:dyDescent="0.25">
      <c r="A4" s="36"/>
      <c r="B4" s="535" t="s">
        <v>235</v>
      </c>
      <c r="C4" s="535"/>
      <c r="D4" s="122"/>
      <c r="E4" s="122"/>
      <c r="F4" s="128" t="s">
        <v>236</v>
      </c>
      <c r="G4" s="128"/>
      <c r="H4" s="128" t="s">
        <v>237</v>
      </c>
      <c r="I4" s="128"/>
      <c r="J4" s="9"/>
      <c r="K4" s="9"/>
    </row>
    <row r="5" spans="1:11" ht="15" x14ac:dyDescent="0.25">
      <c r="A5" s="36"/>
      <c r="B5" s="124" t="s">
        <v>238</v>
      </c>
      <c r="C5" s="125">
        <f>'Entry Sheet'!C16</f>
        <v>0</v>
      </c>
      <c r="D5" s="122"/>
      <c r="E5" s="122"/>
      <c r="F5" s="124" t="s">
        <v>239</v>
      </c>
      <c r="G5" s="125">
        <v>8</v>
      </c>
      <c r="H5" s="124" t="s">
        <v>240</v>
      </c>
      <c r="I5" s="127">
        <f>IF('Entry Sheet'!C16="",0,VLOOKUP('Entry Sheet'!C16,'Table 2'!B4:C1099,2,0))</f>
        <v>0</v>
      </c>
      <c r="J5" s="9"/>
      <c r="K5" s="9"/>
    </row>
    <row r="6" spans="1:11" ht="15" x14ac:dyDescent="0.25">
      <c r="A6" s="36"/>
      <c r="B6" s="124" t="s">
        <v>47</v>
      </c>
      <c r="C6" s="125">
        <f>'Entry Sheet'!C18</f>
        <v>0</v>
      </c>
      <c r="D6" s="122"/>
      <c r="E6" s="122"/>
      <c r="F6" s="124" t="s">
        <v>241</v>
      </c>
      <c r="G6" s="125">
        <v>5</v>
      </c>
      <c r="H6" s="124" t="s">
        <v>242</v>
      </c>
      <c r="I6" s="125">
        <f>IF('Entry Sheet'!C16="",0,VLOOKUP('Entry Sheet'!C16,'Appendix 2'!D5:I97,MATCH('Entry Sheet'!C19,'Appendix 2'!E4:I4)+1))</f>
        <v>0</v>
      </c>
      <c r="J6" s="9"/>
      <c r="K6" s="9"/>
    </row>
    <row r="7" spans="1:11" ht="15" x14ac:dyDescent="0.25">
      <c r="A7" s="36"/>
      <c r="B7" s="124" t="s">
        <v>48</v>
      </c>
      <c r="C7" s="125">
        <f>'Entry Sheet'!C19</f>
        <v>0</v>
      </c>
      <c r="D7" s="122"/>
      <c r="E7" s="122"/>
      <c r="F7" s="124" t="s">
        <v>243</v>
      </c>
      <c r="G7" s="125">
        <f>C5*G5</f>
        <v>0</v>
      </c>
      <c r="H7" s="124" t="s">
        <v>244</v>
      </c>
      <c r="I7" s="127">
        <f>C14*0.00038</f>
        <v>0</v>
      </c>
      <c r="J7" s="9"/>
      <c r="K7" s="9"/>
    </row>
    <row r="8" spans="1:11" ht="15" x14ac:dyDescent="0.25">
      <c r="A8" s="36"/>
      <c r="B8" s="122"/>
      <c r="C8" s="122"/>
      <c r="D8" s="122"/>
      <c r="E8" s="122"/>
      <c r="F8" s="124" t="s">
        <v>245</v>
      </c>
      <c r="G8" s="125">
        <f>365*24</f>
        <v>8760</v>
      </c>
      <c r="H8" s="124" t="s">
        <v>246</v>
      </c>
      <c r="I8" s="127">
        <f>IF('Entry Sheet'!C15="",0,VLOOKUP('Entry Sheet'!C15,'Table 1'!B4:C66,2,0))</f>
        <v>0</v>
      </c>
      <c r="J8" s="9"/>
      <c r="K8" s="9"/>
    </row>
    <row r="9" spans="1:11" ht="15" x14ac:dyDescent="0.25">
      <c r="A9" s="36"/>
      <c r="B9" s="535" t="s">
        <v>247</v>
      </c>
      <c r="C9" s="535"/>
      <c r="D9" s="122"/>
      <c r="E9" s="122"/>
      <c r="F9" s="124" t="s">
        <v>248</v>
      </c>
      <c r="G9" s="126">
        <f>(G8*G6)/1000</f>
        <v>43.8</v>
      </c>
      <c r="H9" s="124" t="s">
        <v>249</v>
      </c>
      <c r="I9" s="125"/>
      <c r="J9" s="9"/>
      <c r="K9" s="9"/>
    </row>
    <row r="10" spans="1:11" ht="15" x14ac:dyDescent="0.25">
      <c r="A10" s="36"/>
      <c r="B10" s="124" t="s">
        <v>250</v>
      </c>
      <c r="C10" s="126">
        <f>IF(C5=0,0,0.03*C5+7.5*(C6+1))</f>
        <v>0</v>
      </c>
      <c r="D10" s="122"/>
      <c r="E10" s="122"/>
      <c r="F10" s="124" t="s">
        <v>251</v>
      </c>
      <c r="G10" s="126">
        <f>G9*I8</f>
        <v>0</v>
      </c>
      <c r="H10" s="124" t="s">
        <v>252</v>
      </c>
      <c r="I10" s="125"/>
      <c r="J10" s="9"/>
      <c r="K10" s="9"/>
    </row>
    <row r="11" spans="1:11" s="9" customFormat="1" ht="15" x14ac:dyDescent="0.25">
      <c r="A11" s="44"/>
      <c r="B11" s="122"/>
      <c r="C11" s="122"/>
      <c r="D11" s="122"/>
      <c r="E11" s="122"/>
      <c r="F11" s="122"/>
      <c r="G11" s="123"/>
      <c r="H11" s="122"/>
      <c r="I11" s="122"/>
    </row>
    <row r="12" spans="1:11" ht="14.1" customHeight="1" x14ac:dyDescent="0.25">
      <c r="A12" s="36"/>
      <c r="B12" s="128" t="s">
        <v>253</v>
      </c>
      <c r="C12" s="128" t="s">
        <v>254</v>
      </c>
      <c r="D12" s="128" t="s">
        <v>255</v>
      </c>
      <c r="E12" s="122"/>
      <c r="F12" s="128" t="s">
        <v>256</v>
      </c>
      <c r="G12" s="129" t="s">
        <v>257</v>
      </c>
      <c r="H12" s="129" t="s">
        <v>258</v>
      </c>
      <c r="I12" s="122"/>
      <c r="J12" s="9"/>
      <c r="K12" s="9"/>
    </row>
    <row r="13" spans="1:11" ht="15" x14ac:dyDescent="0.25">
      <c r="A13" s="36"/>
      <c r="B13" s="124" t="s">
        <v>259</v>
      </c>
      <c r="C13" s="125">
        <f>'Entry Sheet'!C19</f>
        <v>0</v>
      </c>
      <c r="D13" s="125">
        <f>'Entry Sheet'!C19</f>
        <v>0</v>
      </c>
      <c r="E13" s="122"/>
      <c r="F13" s="124" t="s">
        <v>260</v>
      </c>
      <c r="G13" s="126">
        <f>IF(G7=0,0,(C14*60)/G7)</f>
        <v>0</v>
      </c>
      <c r="H13" s="126">
        <f>IF(G7=0,0,(D14*60)/G7)</f>
        <v>0</v>
      </c>
      <c r="I13" s="122"/>
      <c r="J13" s="9"/>
      <c r="K13" s="9"/>
    </row>
    <row r="14" spans="1:11" ht="15" x14ac:dyDescent="0.25">
      <c r="A14" s="36"/>
      <c r="B14" s="124" t="s">
        <v>261</v>
      </c>
      <c r="C14" s="125">
        <f>'Entry Sheet'!C31</f>
        <v>0</v>
      </c>
      <c r="D14" s="125">
        <f>'Entry Sheet'!D31</f>
        <v>0</v>
      </c>
      <c r="E14" s="122"/>
      <c r="F14" s="124" t="s">
        <v>262</v>
      </c>
      <c r="G14" s="127">
        <f>IF(C5=0,0,(G13/C15))</f>
        <v>0</v>
      </c>
      <c r="H14" s="127">
        <f>IF(C5=0,0,H13/C15)</f>
        <v>0</v>
      </c>
      <c r="I14" s="122"/>
      <c r="J14" s="9"/>
      <c r="K14" s="9"/>
    </row>
    <row r="15" spans="1:11" ht="15" x14ac:dyDescent="0.25">
      <c r="A15" s="36"/>
      <c r="B15" s="124" t="s">
        <v>242</v>
      </c>
      <c r="C15" s="534" t="b">
        <f>IF(C7=1,21.5,IF(C7=1.5,(21.5*0.89),IF(C7=2,(21.5*0.81),IF(C7=2.5,(21.5*0.76),IF(C7=3,(21.5*0.72))))))</f>
        <v>0</v>
      </c>
      <c r="D15" s="534"/>
      <c r="E15" s="122"/>
      <c r="F15" s="124" t="s">
        <v>263</v>
      </c>
      <c r="G15" s="126">
        <f>0.35*G7*C15/60</f>
        <v>0</v>
      </c>
      <c r="H15" s="126">
        <f>0.35*G7*C15/60</f>
        <v>0</v>
      </c>
      <c r="I15" s="122"/>
      <c r="J15" s="9"/>
      <c r="K15" s="9"/>
    </row>
    <row r="16" spans="1:11" ht="15" x14ac:dyDescent="0.25">
      <c r="A16" s="36"/>
      <c r="B16" s="124" t="s">
        <v>264</v>
      </c>
      <c r="C16" s="126">
        <f>IF(OR(C15=0,C14=0),0,C14/C15)</f>
        <v>0</v>
      </c>
      <c r="D16" s="126">
        <f>IF(OR(C15=0,D14=0),0,D14/C15)</f>
        <v>0</v>
      </c>
      <c r="E16" s="122"/>
      <c r="F16" s="124" t="s">
        <v>265</v>
      </c>
      <c r="G16" s="126">
        <f>C17</f>
        <v>-62.5</v>
      </c>
      <c r="H16" s="126">
        <f>D17</f>
        <v>-62.5</v>
      </c>
      <c r="I16" s="122"/>
      <c r="J16" s="9"/>
      <c r="K16" s="9"/>
    </row>
    <row r="17" spans="1:9" ht="15" x14ac:dyDescent="0.25">
      <c r="A17" s="36"/>
      <c r="B17" s="124" t="s">
        <v>266</v>
      </c>
      <c r="C17" s="126">
        <f>C16-C42</f>
        <v>-62.5</v>
      </c>
      <c r="D17" s="126">
        <f>D16-D42</f>
        <v>-62.5</v>
      </c>
      <c r="E17" s="122"/>
      <c r="F17" s="124" t="s">
        <v>267</v>
      </c>
      <c r="G17" s="125">
        <f>0.055*C14</f>
        <v>0</v>
      </c>
      <c r="H17" s="126">
        <f>0.055*D14</f>
        <v>0</v>
      </c>
      <c r="I17" s="122"/>
    </row>
    <row r="18" spans="1:9" ht="15" x14ac:dyDescent="0.25">
      <c r="A18" s="36"/>
      <c r="B18" s="124" t="s">
        <v>268</v>
      </c>
      <c r="C18" s="126">
        <f>IF(OR(C17&gt;$C$10,C17=$C$10,($C$10-C17&lt;20)),0,$C$10-C17)</f>
        <v>62.5</v>
      </c>
      <c r="D18" s="126">
        <f>IF(OR(D17&gt;$C$10,D17=$C$10,($C$10-D17&lt;20)),0,$C$10-D17)</f>
        <v>62.5</v>
      </c>
      <c r="E18" s="122"/>
      <c r="F18" s="122"/>
      <c r="G18" s="122"/>
      <c r="H18" s="122"/>
      <c r="I18" s="122"/>
    </row>
    <row r="19" spans="1:9" ht="15" x14ac:dyDescent="0.25">
      <c r="A19" s="36"/>
      <c r="B19" s="128" t="s">
        <v>269</v>
      </c>
      <c r="C19" s="129"/>
      <c r="D19" s="129"/>
      <c r="E19" s="122"/>
      <c r="F19" s="122"/>
      <c r="G19" s="122"/>
      <c r="H19" s="122"/>
      <c r="I19" s="122"/>
    </row>
    <row r="20" spans="1:9" ht="15" x14ac:dyDescent="0.25">
      <c r="A20" s="36"/>
      <c r="B20" s="124" t="s">
        <v>270</v>
      </c>
      <c r="C20" s="126">
        <f>'Entry Sheet'!H5*IF('Entry Sheet'!H6="yes",(2/3),1)</f>
        <v>0</v>
      </c>
      <c r="D20" s="126">
        <f>'Entry Sheet'!I5*IF('Entry Sheet'!I6="yes",(2/3),1)</f>
        <v>0</v>
      </c>
      <c r="E20" s="122"/>
      <c r="F20" s="535" t="s">
        <v>271</v>
      </c>
      <c r="G20" s="535"/>
      <c r="H20" s="535"/>
      <c r="I20" s="122"/>
    </row>
    <row r="21" spans="1:9" ht="15" x14ac:dyDescent="0.25">
      <c r="A21" s="36"/>
      <c r="B21" s="124" t="s">
        <v>272</v>
      </c>
      <c r="C21" s="125">
        <f>IF('Entry Sheet'!H4="Yes",20,0)</f>
        <v>0</v>
      </c>
      <c r="D21" s="125">
        <f>IF('Entry Sheet'!I4="Yes",20,0)</f>
        <v>0</v>
      </c>
      <c r="E21" s="122"/>
      <c r="F21" s="164" t="e">
        <f>('Entry Sheet'!D31*1)*3.819/'Entry Sheet'!C16</f>
        <v>#DIV/0!</v>
      </c>
      <c r="G21" s="536" t="e">
        <f>(1-(F21/'Entry Sheet'!B23))</f>
        <v>#DIV/0!</v>
      </c>
      <c r="H21" s="536"/>
      <c r="I21" s="122"/>
    </row>
    <row r="22" spans="1:9" ht="15" x14ac:dyDescent="0.25">
      <c r="A22" s="36"/>
      <c r="B22" s="124" t="s">
        <v>273</v>
      </c>
      <c r="C22" s="126">
        <f>IF(100-(C20+C21)&lt;0,0,100-(C20+C21))</f>
        <v>100</v>
      </c>
      <c r="D22" s="126">
        <f>IF(100-(D20+D21)&lt;0,0,100-(D20+D21))</f>
        <v>100</v>
      </c>
      <c r="E22" s="122"/>
      <c r="F22" s="231" t="e">
        <f>(C14-D14)/C14</f>
        <v>#DIV/0!</v>
      </c>
      <c r="G22" s="122"/>
      <c r="H22" s="122"/>
      <c r="I22" s="122"/>
    </row>
    <row r="23" spans="1:9" ht="15" x14ac:dyDescent="0.25">
      <c r="A23" s="36"/>
      <c r="B23" s="128" t="s">
        <v>274</v>
      </c>
      <c r="C23" s="129"/>
      <c r="D23" s="129"/>
      <c r="E23" s="122"/>
      <c r="F23" s="122"/>
      <c r="G23" s="122"/>
      <c r="H23" s="122"/>
      <c r="I23" s="122"/>
    </row>
    <row r="24" spans="1:9" ht="15" x14ac:dyDescent="0.25">
      <c r="A24" s="36"/>
      <c r="B24" s="124" t="s">
        <v>274</v>
      </c>
      <c r="C24" s="125">
        <f>'Entry Sheet'!H9*IF('Entry Sheet'!H10="yes",(2/3),1)</f>
        <v>0</v>
      </c>
      <c r="D24" s="125">
        <f>'Entry Sheet'!I9*IF('Entry Sheet'!I10="yes",(2/3),1)</f>
        <v>0</v>
      </c>
      <c r="E24" s="122"/>
      <c r="F24" s="122"/>
      <c r="G24" s="122"/>
      <c r="H24" s="122"/>
      <c r="I24" s="122"/>
    </row>
    <row r="25" spans="1:9" ht="15" x14ac:dyDescent="0.25">
      <c r="A25" s="36"/>
      <c r="B25" s="124" t="s">
        <v>272</v>
      </c>
      <c r="C25" s="125">
        <f>IF('Entry Sheet'!H8="Yes",20,0)</f>
        <v>0</v>
      </c>
      <c r="D25" s="125">
        <f>IF('Entry Sheet'!I8="Yes",20,0)</f>
        <v>0</v>
      </c>
      <c r="E25" s="122"/>
      <c r="F25" s="122"/>
      <c r="G25" s="122"/>
      <c r="H25" s="122"/>
      <c r="I25" s="122"/>
    </row>
    <row r="26" spans="1:9" ht="15" x14ac:dyDescent="0.25">
      <c r="A26" s="36"/>
      <c r="B26" s="124" t="s">
        <v>275</v>
      </c>
      <c r="C26" s="125">
        <f>IF(AND('Entry Sheet'!$H$4="",'Entry Sheet'!$H$5=""),0,IF(50-(C24+C25)&lt;0,0,50-(C24+C25)))</f>
        <v>0</v>
      </c>
      <c r="D26" s="125">
        <f>IF(AND('Entry Sheet'!$H$4="",'Entry Sheet'!$H$5=""),0,IF(50-(D24+D25)&lt;0,0,50-(D24+D25)))</f>
        <v>0</v>
      </c>
      <c r="E26" s="122"/>
      <c r="F26" s="122"/>
      <c r="G26" s="122"/>
      <c r="H26" s="122"/>
      <c r="I26" s="122"/>
    </row>
    <row r="27" spans="1:9" ht="15" x14ac:dyDescent="0.25">
      <c r="A27" s="36"/>
      <c r="B27" s="128" t="s">
        <v>276</v>
      </c>
      <c r="C27" s="129"/>
      <c r="D27" s="129"/>
      <c r="E27" s="122"/>
      <c r="F27" s="122"/>
      <c r="G27" s="122"/>
      <c r="H27" s="122"/>
      <c r="I27" s="122"/>
    </row>
    <row r="28" spans="1:9" ht="15" x14ac:dyDescent="0.25">
      <c r="A28" s="36"/>
      <c r="B28" s="124" t="s">
        <v>276</v>
      </c>
      <c r="C28" s="125">
        <f>'Entry Sheet'!H14*IF('Entry Sheet'!H15="yes",(2/3),1)</f>
        <v>0</v>
      </c>
      <c r="D28" s="125">
        <f>'Entry Sheet'!I14*IF('Entry Sheet'!I15="yes",(2/3),1)</f>
        <v>0</v>
      </c>
      <c r="E28" s="122"/>
      <c r="F28" s="122"/>
      <c r="G28" s="122"/>
      <c r="H28" s="122"/>
      <c r="I28" s="122"/>
    </row>
    <row r="29" spans="1:9" ht="15" x14ac:dyDescent="0.25">
      <c r="A29" s="36"/>
      <c r="B29" s="124" t="s">
        <v>272</v>
      </c>
      <c r="C29" s="125">
        <f>IF('Entry Sheet'!H13="Yes",20,0)</f>
        <v>0</v>
      </c>
      <c r="D29" s="125">
        <f>IF('Entry Sheet'!I13="Yes",20,0)</f>
        <v>0</v>
      </c>
      <c r="E29" s="122"/>
      <c r="F29" s="122"/>
      <c r="G29" s="122"/>
      <c r="H29" s="122"/>
      <c r="I29" s="122"/>
    </row>
    <row r="30" spans="1:9" ht="15" x14ac:dyDescent="0.25">
      <c r="A30" s="36"/>
      <c r="B30" s="124" t="s">
        <v>277</v>
      </c>
      <c r="C30" s="125">
        <f>IF(50-(C28+C29)&lt;0,0,50-(C28+C29))</f>
        <v>50</v>
      </c>
      <c r="D30" s="125">
        <f>IF(50-(D28+D29)&lt;0,0,50-(D28+D29))</f>
        <v>50</v>
      </c>
      <c r="E30" s="122"/>
      <c r="F30" s="122"/>
      <c r="G30" s="122"/>
      <c r="H30" s="122"/>
      <c r="I30" s="122"/>
    </row>
    <row r="31" spans="1:9" ht="15" x14ac:dyDescent="0.25">
      <c r="A31" s="36"/>
      <c r="B31" s="124" t="s">
        <v>278</v>
      </c>
      <c r="C31" s="125">
        <f>IF(OR('Entry Sheet'!H12="yes",'Entry Sheet'!H12=""),Calculations!C30,0)</f>
        <v>0</v>
      </c>
      <c r="D31" s="125">
        <f>IF(OR('Entry Sheet'!I12="yes",'Entry Sheet'!I12=""),Calculations!D30,0)</f>
        <v>0</v>
      </c>
      <c r="E31" s="122"/>
      <c r="F31" s="122"/>
      <c r="G31" s="122"/>
      <c r="H31" s="122"/>
      <c r="I31" s="122"/>
    </row>
    <row r="32" spans="1:9" ht="15" x14ac:dyDescent="0.25">
      <c r="A32" s="36"/>
      <c r="B32" s="128" t="s">
        <v>279</v>
      </c>
      <c r="C32" s="129"/>
      <c r="D32" s="129"/>
      <c r="E32" s="122"/>
      <c r="F32" s="122"/>
      <c r="G32" s="122"/>
      <c r="H32" s="122"/>
      <c r="I32" s="122"/>
    </row>
    <row r="33" spans="1:9" ht="15" x14ac:dyDescent="0.25">
      <c r="A33" s="36"/>
      <c r="B33" s="124" t="s">
        <v>279</v>
      </c>
      <c r="C33" s="125">
        <f>'Entry Sheet'!H19*IF('Entry Sheet'!H20="yes",(2/3),1)</f>
        <v>0</v>
      </c>
      <c r="D33" s="125">
        <f>'Entry Sheet'!I19*IF('Entry Sheet'!I20="yes",(2/3),1)</f>
        <v>0</v>
      </c>
      <c r="E33" s="122"/>
      <c r="F33" s="122"/>
      <c r="G33" s="122"/>
      <c r="H33" s="122"/>
      <c r="I33" s="122"/>
    </row>
    <row r="34" spans="1:9" ht="15" x14ac:dyDescent="0.25">
      <c r="B34" s="124" t="s">
        <v>272</v>
      </c>
      <c r="C34" s="125">
        <f>IF('Entry Sheet'!H18="Yes",20,0)</f>
        <v>0</v>
      </c>
      <c r="D34" s="125">
        <f>IF('Entry Sheet'!I18="Yes",20,0)</f>
        <v>0</v>
      </c>
      <c r="E34" s="7"/>
      <c r="F34" s="9"/>
      <c r="G34" s="9"/>
      <c r="H34" s="9"/>
      <c r="I34" s="9"/>
    </row>
    <row r="35" spans="1:9" ht="15" x14ac:dyDescent="0.25">
      <c r="B35" s="124" t="s">
        <v>280</v>
      </c>
      <c r="C35" s="125">
        <f>IF(50-(C33+C34)&lt;0,0,50-(C33+C34))</f>
        <v>50</v>
      </c>
      <c r="D35" s="125">
        <f>IF(50-(D33+D34)&lt;0,0,50-(D33+D34))</f>
        <v>50</v>
      </c>
      <c r="E35" s="11"/>
      <c r="F35" s="9"/>
      <c r="G35" s="9"/>
      <c r="H35" s="9"/>
      <c r="I35" s="9"/>
    </row>
    <row r="36" spans="1:9" ht="15" x14ac:dyDescent="0.25">
      <c r="B36" s="124" t="s">
        <v>281</v>
      </c>
      <c r="C36" s="125">
        <f>IF(OR('Entry Sheet'!H17="yes",'Entry Sheet'!H17=""),Calculations!C35,0)</f>
        <v>0</v>
      </c>
      <c r="D36" s="125">
        <f>IF(OR('Entry Sheet'!I17="yes",'Entry Sheet'!I17=""),Calculations!D35,0)</f>
        <v>0</v>
      </c>
      <c r="E36" s="11"/>
      <c r="F36" s="9"/>
      <c r="G36" s="9"/>
      <c r="H36" s="9"/>
      <c r="I36" s="9"/>
    </row>
    <row r="37" spans="1:9" s="9" customFormat="1" ht="15" x14ac:dyDescent="0.25">
      <c r="B37" s="128" t="s">
        <v>282</v>
      </c>
      <c r="C37" s="129"/>
      <c r="D37" s="129"/>
      <c r="E37" s="11"/>
    </row>
    <row r="38" spans="1:9" ht="15" x14ac:dyDescent="0.25">
      <c r="B38" s="124" t="s">
        <v>282</v>
      </c>
      <c r="C38" s="125">
        <f>'Entry Sheet'!H24*IF('Entry Sheet'!H22="yes",(2/3),1)</f>
        <v>0</v>
      </c>
      <c r="D38" s="125">
        <f>'Entry Sheet'!I24*IF('Entry Sheet'!I22="yes",(2/3),1)</f>
        <v>0</v>
      </c>
      <c r="E38" s="11"/>
      <c r="F38" s="9"/>
      <c r="G38" s="9"/>
      <c r="H38" s="9"/>
      <c r="I38" s="9"/>
    </row>
    <row r="39" spans="1:9" ht="15" x14ac:dyDescent="0.25">
      <c r="B39" s="124" t="s">
        <v>272</v>
      </c>
      <c r="C39" s="125">
        <f>IF('Entry Sheet'!H23="Yes",20,0)</f>
        <v>0</v>
      </c>
      <c r="D39" s="125">
        <f>IF('Entry Sheet'!I23="Yes",20,0)</f>
        <v>0</v>
      </c>
      <c r="E39" s="11"/>
      <c r="F39" s="9"/>
      <c r="G39" s="9"/>
      <c r="H39" s="9"/>
      <c r="I39" s="9"/>
    </row>
    <row r="40" spans="1:9" ht="15" x14ac:dyDescent="0.25">
      <c r="B40" s="124" t="s">
        <v>283</v>
      </c>
      <c r="C40" s="125">
        <f>IF(50-(C38+C39)&lt;0,0,50-(C38+C39))</f>
        <v>50</v>
      </c>
      <c r="D40" s="125">
        <f>IF(50-(D38+D39)&lt;0,0,50-(D38+D39))</f>
        <v>50</v>
      </c>
      <c r="E40" s="11"/>
      <c r="F40" s="9"/>
      <c r="G40" s="9"/>
      <c r="H40" s="9"/>
      <c r="I40" s="9"/>
    </row>
    <row r="41" spans="1:9" ht="15" x14ac:dyDescent="0.25">
      <c r="B41" s="124" t="s">
        <v>284</v>
      </c>
      <c r="C41" s="125">
        <f>IF(OR('Entry Sheet'!H22="yes",'Entry Sheet'!H22=""),Calculations!C40,0)</f>
        <v>0</v>
      </c>
      <c r="D41" s="125">
        <f>IF(OR('Entry Sheet'!I22="yes",'Entry Sheet'!I22=""),Calculations!D40,0)</f>
        <v>0</v>
      </c>
      <c r="E41" s="11"/>
      <c r="F41" s="9"/>
      <c r="G41" s="9"/>
      <c r="H41" s="9"/>
      <c r="I41" s="9"/>
    </row>
    <row r="42" spans="1:9" ht="15" x14ac:dyDescent="0.25">
      <c r="B42" s="128" t="s">
        <v>285</v>
      </c>
      <c r="C42" s="147">
        <f>(C22+C26+C30+C35+C40)/4</f>
        <v>62.5</v>
      </c>
      <c r="D42" s="147">
        <f>(D22+D26+D30+D35+D40)/4</f>
        <v>62.5</v>
      </c>
      <c r="E42" s="11"/>
      <c r="F42" s="9"/>
      <c r="G42" s="9"/>
      <c r="H42" s="9"/>
      <c r="I42" s="9"/>
    </row>
  </sheetData>
  <mergeCells count="5">
    <mergeCell ref="C15:D15"/>
    <mergeCell ref="B9:C9"/>
    <mergeCell ref="B4:C4"/>
    <mergeCell ref="G21:H21"/>
    <mergeCell ref="F20:H20"/>
  </mergeCells>
  <pageMargins left="0.7" right="0.7" top="0.75" bottom="0.75" header="0.3" footer="0.3"/>
  <pageSetup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N28"/>
  <sheetViews>
    <sheetView workbookViewId="0"/>
  </sheetViews>
  <sheetFormatPr defaultColWidth="8.875" defaultRowHeight="14.25" x14ac:dyDescent="0.2"/>
  <cols>
    <col min="1" max="1" width="16.5" bestFit="1" customWidth="1"/>
    <col min="2" max="2" width="14.875" customWidth="1"/>
    <col min="3" max="3" width="7.625" style="9" customWidth="1"/>
    <col min="10" max="10" width="8.875" style="24"/>
    <col min="11" max="11" width="12.125" style="21" customWidth="1"/>
  </cols>
  <sheetData>
    <row r="1" spans="1:14" ht="23.25" x14ac:dyDescent="0.35">
      <c r="A1" s="5" t="s">
        <v>286</v>
      </c>
      <c r="B1" s="9"/>
      <c r="D1" s="9"/>
      <c r="E1" s="9"/>
      <c r="F1" s="9"/>
      <c r="G1" s="9"/>
      <c r="H1" s="9"/>
      <c r="I1" s="9"/>
      <c r="L1" s="9"/>
      <c r="M1" s="9"/>
      <c r="N1" s="9"/>
    </row>
    <row r="2" spans="1:14" x14ac:dyDescent="0.2">
      <c r="A2" s="537" t="s">
        <v>287</v>
      </c>
      <c r="B2" s="537"/>
      <c r="C2" s="537"/>
      <c r="D2" s="537"/>
      <c r="E2" s="537"/>
      <c r="F2" s="537"/>
      <c r="G2" s="537"/>
      <c r="H2" s="9"/>
      <c r="I2" s="9"/>
      <c r="J2" s="25"/>
      <c r="K2" s="22"/>
      <c r="L2" s="20" t="s">
        <v>288</v>
      </c>
      <c r="M2" s="20"/>
      <c r="N2" s="20"/>
    </row>
    <row r="3" spans="1:14" x14ac:dyDescent="0.2">
      <c r="A3" s="9"/>
      <c r="B3" s="9"/>
      <c r="D3" s="9"/>
      <c r="E3" s="9"/>
      <c r="F3" s="9"/>
      <c r="G3" s="9"/>
      <c r="H3" s="9"/>
      <c r="I3" s="9"/>
      <c r="J3" s="9"/>
      <c r="K3" s="9"/>
      <c r="L3" s="17"/>
      <c r="M3" s="17"/>
      <c r="N3" s="17"/>
    </row>
    <row r="4" spans="1:14" x14ac:dyDescent="0.2">
      <c r="A4" s="9"/>
      <c r="B4" s="538" t="s">
        <v>289</v>
      </c>
      <c r="C4" s="538"/>
      <c r="D4" s="538"/>
      <c r="E4" s="538"/>
      <c r="F4" s="538"/>
      <c r="G4" s="538"/>
      <c r="H4" s="538"/>
      <c r="I4" s="9"/>
      <c r="J4" s="538" t="s">
        <v>290</v>
      </c>
      <c r="K4" s="538"/>
      <c r="L4" s="20" t="s">
        <v>69</v>
      </c>
      <c r="M4" s="17"/>
      <c r="N4" s="17"/>
    </row>
    <row r="5" spans="1:14" x14ac:dyDescent="0.2">
      <c r="A5" s="9"/>
      <c r="B5" s="138" t="s">
        <v>291</v>
      </c>
      <c r="C5" s="138" t="s">
        <v>292</v>
      </c>
      <c r="D5" s="146">
        <v>1</v>
      </c>
      <c r="E5" s="146">
        <v>2</v>
      </c>
      <c r="F5" s="146">
        <v>3</v>
      </c>
      <c r="G5" s="146">
        <v>4</v>
      </c>
      <c r="H5" s="146">
        <v>5</v>
      </c>
      <c r="I5" s="9"/>
      <c r="J5" s="140">
        <v>5</v>
      </c>
      <c r="K5" s="140">
        <v>0.08</v>
      </c>
      <c r="L5" s="20" t="s">
        <v>293</v>
      </c>
      <c r="M5" s="17"/>
      <c r="N5" s="17"/>
    </row>
    <row r="6" spans="1:14" x14ac:dyDescent="0.2">
      <c r="A6" s="9"/>
      <c r="B6" s="138" t="s">
        <v>294</v>
      </c>
      <c r="C6" s="139">
        <v>0</v>
      </c>
      <c r="D6" s="140">
        <v>30</v>
      </c>
      <c r="E6" s="140">
        <v>38</v>
      </c>
      <c r="F6" s="140">
        <v>45</v>
      </c>
      <c r="G6" s="140">
        <v>53</v>
      </c>
      <c r="H6" s="140">
        <v>60</v>
      </c>
      <c r="I6" s="9"/>
      <c r="J6" s="140">
        <v>10</v>
      </c>
      <c r="K6" s="140">
        <v>0.17</v>
      </c>
      <c r="L6" s="20" t="s">
        <v>295</v>
      </c>
      <c r="M6" s="17"/>
      <c r="N6" s="17"/>
    </row>
    <row r="7" spans="1:14" x14ac:dyDescent="0.2">
      <c r="A7" s="9"/>
      <c r="B7" s="138" t="s">
        <v>296</v>
      </c>
      <c r="C7" s="139">
        <v>500</v>
      </c>
      <c r="D7" s="140">
        <v>45</v>
      </c>
      <c r="E7" s="140">
        <v>53</v>
      </c>
      <c r="F7" s="140">
        <v>60</v>
      </c>
      <c r="G7" s="140">
        <v>68</v>
      </c>
      <c r="H7" s="140">
        <v>75</v>
      </c>
      <c r="I7" s="9"/>
      <c r="J7" s="140">
        <v>15</v>
      </c>
      <c r="K7" s="140">
        <v>0.25</v>
      </c>
      <c r="L7" s="20" t="s">
        <v>297</v>
      </c>
      <c r="M7" s="17"/>
      <c r="N7" s="17"/>
    </row>
    <row r="8" spans="1:14" x14ac:dyDescent="0.2">
      <c r="A8" s="9"/>
      <c r="B8" s="138" t="s">
        <v>298</v>
      </c>
      <c r="C8" s="139">
        <v>1000</v>
      </c>
      <c r="D8" s="140">
        <v>60</v>
      </c>
      <c r="E8" s="140">
        <v>68</v>
      </c>
      <c r="F8" s="140">
        <v>75</v>
      </c>
      <c r="G8" s="140">
        <v>83</v>
      </c>
      <c r="H8" s="140">
        <v>90</v>
      </c>
      <c r="I8" s="9"/>
      <c r="J8" s="140">
        <v>20</v>
      </c>
      <c r="K8" s="140">
        <v>0.33</v>
      </c>
      <c r="L8" s="20" t="s">
        <v>299</v>
      </c>
      <c r="M8" s="17"/>
      <c r="N8" s="17"/>
    </row>
    <row r="9" spans="1:14" x14ac:dyDescent="0.2">
      <c r="A9" s="9"/>
      <c r="B9" s="138" t="s">
        <v>300</v>
      </c>
      <c r="C9" s="139">
        <v>1500</v>
      </c>
      <c r="D9" s="140">
        <v>75</v>
      </c>
      <c r="E9" s="140">
        <v>83</v>
      </c>
      <c r="F9" s="140">
        <v>90</v>
      </c>
      <c r="G9" s="140">
        <v>98</v>
      </c>
      <c r="H9" s="140">
        <v>105</v>
      </c>
      <c r="I9" s="9"/>
      <c r="J9" s="140">
        <v>25</v>
      </c>
      <c r="K9" s="140">
        <v>0.42</v>
      </c>
      <c r="L9" s="17"/>
      <c r="M9" s="17"/>
      <c r="N9" s="17"/>
    </row>
    <row r="10" spans="1:14" x14ac:dyDescent="0.2">
      <c r="A10" s="9"/>
      <c r="B10" s="138" t="s">
        <v>301</v>
      </c>
      <c r="C10" s="139">
        <v>2000</v>
      </c>
      <c r="D10" s="140">
        <v>90</v>
      </c>
      <c r="E10" s="140">
        <v>98</v>
      </c>
      <c r="F10" s="140">
        <v>105</v>
      </c>
      <c r="G10" s="140">
        <v>113</v>
      </c>
      <c r="H10" s="140">
        <v>120</v>
      </c>
      <c r="I10" s="9"/>
      <c r="J10" s="140">
        <v>30</v>
      </c>
      <c r="K10" s="140">
        <v>0.5</v>
      </c>
      <c r="L10" s="17"/>
      <c r="M10" s="17"/>
      <c r="N10" s="17"/>
    </row>
    <row r="11" spans="1:14" x14ac:dyDescent="0.2">
      <c r="A11" s="9"/>
      <c r="B11" s="138" t="s">
        <v>302</v>
      </c>
      <c r="C11" s="139">
        <v>2500</v>
      </c>
      <c r="D11" s="140">
        <v>105</v>
      </c>
      <c r="E11" s="140">
        <v>113</v>
      </c>
      <c r="F11" s="140">
        <v>120</v>
      </c>
      <c r="G11" s="140">
        <v>128</v>
      </c>
      <c r="H11" s="140">
        <v>135</v>
      </c>
      <c r="I11" s="9"/>
      <c r="J11" s="140">
        <v>35</v>
      </c>
      <c r="K11" s="140">
        <v>0.57999999999999996</v>
      </c>
      <c r="L11" s="17"/>
      <c r="M11" s="17"/>
      <c r="N11" s="17"/>
    </row>
    <row r="12" spans="1:14" x14ac:dyDescent="0.2">
      <c r="A12" s="9"/>
      <c r="B12" s="138" t="s">
        <v>303</v>
      </c>
      <c r="C12" s="139">
        <v>3000</v>
      </c>
      <c r="D12" s="140">
        <v>120</v>
      </c>
      <c r="E12" s="140">
        <v>128</v>
      </c>
      <c r="F12" s="140">
        <v>135</v>
      </c>
      <c r="G12" s="140">
        <v>143</v>
      </c>
      <c r="H12" s="140">
        <v>150</v>
      </c>
      <c r="I12" s="9"/>
      <c r="J12" s="140">
        <v>40</v>
      </c>
      <c r="K12" s="140">
        <v>0.67</v>
      </c>
      <c r="L12" s="17"/>
      <c r="M12" s="17"/>
      <c r="N12" s="17"/>
    </row>
    <row r="13" spans="1:14" x14ac:dyDescent="0.2">
      <c r="A13" s="9"/>
      <c r="B13" s="138" t="s">
        <v>304</v>
      </c>
      <c r="C13" s="139">
        <v>3500</v>
      </c>
      <c r="D13" s="140">
        <v>135</v>
      </c>
      <c r="E13" s="140">
        <v>143</v>
      </c>
      <c r="F13" s="140">
        <v>150</v>
      </c>
      <c r="G13" s="140">
        <v>158</v>
      </c>
      <c r="H13" s="140">
        <v>165</v>
      </c>
      <c r="I13" s="9"/>
      <c r="J13" s="140">
        <v>45</v>
      </c>
      <c r="K13" s="140">
        <v>0.75</v>
      </c>
      <c r="L13" s="17"/>
      <c r="M13" s="17"/>
      <c r="N13" s="17"/>
    </row>
    <row r="14" spans="1:14" x14ac:dyDescent="0.2">
      <c r="A14" s="9"/>
      <c r="B14" s="138" t="s">
        <v>305</v>
      </c>
      <c r="C14" s="139">
        <v>4000</v>
      </c>
      <c r="D14" s="140">
        <v>150</v>
      </c>
      <c r="E14" s="140">
        <v>158</v>
      </c>
      <c r="F14" s="140">
        <v>165</v>
      </c>
      <c r="G14" s="140">
        <v>173</v>
      </c>
      <c r="H14" s="140">
        <v>180</v>
      </c>
      <c r="I14" s="9"/>
      <c r="J14" s="140">
        <v>50</v>
      </c>
      <c r="K14" s="140">
        <v>0.83</v>
      </c>
      <c r="L14" s="17"/>
      <c r="M14" s="17"/>
      <c r="N14" s="17"/>
    </row>
    <row r="15" spans="1:14" x14ac:dyDescent="0.2">
      <c r="A15" s="9"/>
      <c r="B15" s="138" t="s">
        <v>306</v>
      </c>
      <c r="C15" s="139">
        <v>4500</v>
      </c>
      <c r="D15" s="140">
        <v>165</v>
      </c>
      <c r="E15" s="140">
        <v>173</v>
      </c>
      <c r="F15" s="140">
        <v>180</v>
      </c>
      <c r="G15" s="140">
        <v>188</v>
      </c>
      <c r="H15" s="140">
        <v>195</v>
      </c>
      <c r="I15" s="9"/>
      <c r="J15" s="140">
        <v>55</v>
      </c>
      <c r="K15" s="140">
        <v>0.92</v>
      </c>
      <c r="L15" s="17"/>
      <c r="M15" s="17"/>
      <c r="N15" s="17"/>
    </row>
    <row r="16" spans="1:14" x14ac:dyDescent="0.2">
      <c r="A16" s="9"/>
      <c r="B16" s="9"/>
      <c r="D16" s="9"/>
      <c r="E16" s="9"/>
      <c r="F16" s="9"/>
      <c r="G16" s="9"/>
      <c r="H16" s="9"/>
      <c r="I16" s="17"/>
      <c r="J16" s="26"/>
      <c r="K16" s="23"/>
      <c r="L16" s="17"/>
      <c r="M16" s="17"/>
      <c r="N16" s="17"/>
    </row>
    <row r="17" spans="9:14" x14ac:dyDescent="0.2">
      <c r="I17" s="17"/>
      <c r="J17" s="26"/>
      <c r="K17" s="23"/>
      <c r="L17" s="17"/>
      <c r="M17" s="17"/>
      <c r="N17" s="17"/>
    </row>
    <row r="18" spans="9:14" x14ac:dyDescent="0.2">
      <c r="I18" s="17"/>
      <c r="J18" s="27"/>
      <c r="K18" s="28"/>
      <c r="L18" s="17"/>
      <c r="M18" s="17"/>
      <c r="N18" s="17"/>
    </row>
    <row r="19" spans="9:14" x14ac:dyDescent="0.2">
      <c r="I19" s="17"/>
      <c r="J19" s="27"/>
      <c r="K19" s="28"/>
      <c r="L19" s="17"/>
      <c r="M19" s="17"/>
      <c r="N19" s="17"/>
    </row>
    <row r="20" spans="9:14" x14ac:dyDescent="0.2">
      <c r="I20" s="17"/>
      <c r="J20" s="27"/>
      <c r="K20" s="28"/>
      <c r="L20" s="17"/>
      <c r="M20" s="17"/>
      <c r="N20" s="17"/>
    </row>
    <row r="21" spans="9:14" x14ac:dyDescent="0.2">
      <c r="I21" s="17"/>
      <c r="J21" s="27"/>
      <c r="K21" s="28"/>
      <c r="L21" s="17"/>
      <c r="M21" s="17"/>
      <c r="N21" s="17"/>
    </row>
    <row r="22" spans="9:14" x14ac:dyDescent="0.2">
      <c r="I22" s="17"/>
      <c r="J22" s="27"/>
      <c r="K22" s="28"/>
      <c r="L22" s="17"/>
      <c r="M22" s="17"/>
      <c r="N22" s="17"/>
    </row>
    <row r="23" spans="9:14" x14ac:dyDescent="0.2">
      <c r="I23" s="9"/>
      <c r="J23" s="27"/>
      <c r="K23" s="28"/>
      <c r="L23" s="9"/>
      <c r="M23" s="9"/>
      <c r="N23" s="9"/>
    </row>
    <row r="24" spans="9:14" x14ac:dyDescent="0.2">
      <c r="I24" s="9"/>
      <c r="J24" s="27"/>
      <c r="K24" s="28"/>
      <c r="L24" s="9"/>
      <c r="M24" s="9"/>
      <c r="N24" s="9"/>
    </row>
    <row r="25" spans="9:14" x14ac:dyDescent="0.2">
      <c r="I25" s="9"/>
      <c r="J25" s="27"/>
      <c r="K25" s="28"/>
      <c r="L25" s="9"/>
      <c r="M25" s="9"/>
      <c r="N25" s="9"/>
    </row>
    <row r="26" spans="9:14" x14ac:dyDescent="0.2">
      <c r="I26" s="9"/>
      <c r="J26" s="27"/>
      <c r="K26" s="28"/>
      <c r="L26" s="9"/>
      <c r="M26" s="9"/>
      <c r="N26" s="9"/>
    </row>
    <row r="27" spans="9:14" x14ac:dyDescent="0.2">
      <c r="I27" s="9"/>
      <c r="J27" s="27"/>
      <c r="K27" s="28"/>
      <c r="L27" s="9"/>
      <c r="M27" s="9"/>
      <c r="N27" s="9"/>
    </row>
    <row r="28" spans="9:14" x14ac:dyDescent="0.2">
      <c r="I28" s="9"/>
      <c r="J28" s="27"/>
      <c r="K28" s="29"/>
      <c r="L28" s="9"/>
      <c r="M28" s="9"/>
      <c r="N28" s="9"/>
    </row>
  </sheetData>
  <mergeCells count="3">
    <mergeCell ref="A2:G2"/>
    <mergeCell ref="B4:H4"/>
    <mergeCell ref="J4:K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1:P107"/>
  <sheetViews>
    <sheetView workbookViewId="0"/>
  </sheetViews>
  <sheetFormatPr defaultColWidth="8.875" defaultRowHeight="14.25" x14ac:dyDescent="0.2"/>
  <cols>
    <col min="1" max="1" width="2" customWidth="1"/>
    <col min="2" max="2" width="16.5" bestFit="1" customWidth="1"/>
    <col min="3" max="3" width="12" customWidth="1"/>
    <col min="4" max="4" width="28.5" customWidth="1"/>
    <col min="11" max="11" width="15.125" customWidth="1"/>
    <col min="12" max="12" width="20.5" customWidth="1"/>
    <col min="13" max="13" width="18.5" bestFit="1" customWidth="1"/>
    <col min="14" max="14" width="21.125" bestFit="1" customWidth="1"/>
    <col min="15" max="15" width="21.5" bestFit="1" customWidth="1"/>
    <col min="16" max="16" width="21" customWidth="1"/>
  </cols>
  <sheetData>
    <row r="1" spans="2:16" ht="23.25" x14ac:dyDescent="0.35">
      <c r="B1" s="5" t="s">
        <v>307</v>
      </c>
      <c r="C1" s="9"/>
      <c r="D1" s="9"/>
      <c r="E1" s="9"/>
      <c r="F1" s="9"/>
      <c r="G1" s="9"/>
      <c r="H1" s="9"/>
      <c r="I1" s="9"/>
      <c r="J1" s="9"/>
      <c r="K1" s="9"/>
      <c r="L1" s="9"/>
      <c r="M1" s="9"/>
      <c r="N1" s="9"/>
      <c r="O1" s="9"/>
      <c r="P1" s="9"/>
    </row>
    <row r="2" spans="2:16" s="2" customFormat="1" ht="13.5" customHeight="1" x14ac:dyDescent="0.2">
      <c r="B2" s="9" t="s">
        <v>308</v>
      </c>
      <c r="C2" s="9"/>
      <c r="D2" s="9"/>
      <c r="E2" s="9"/>
      <c r="F2" s="9"/>
      <c r="G2" s="9"/>
      <c r="H2" s="9"/>
      <c r="I2" s="9"/>
      <c r="J2" s="9"/>
      <c r="K2" s="9"/>
      <c r="L2" s="9"/>
      <c r="M2" s="9"/>
      <c r="N2" s="9"/>
      <c r="O2" s="9"/>
      <c r="P2" s="9"/>
    </row>
    <row r="3" spans="2:16" ht="15" x14ac:dyDescent="0.2">
      <c r="B3" s="9"/>
      <c r="C3" s="539" t="s">
        <v>309</v>
      </c>
      <c r="D3" s="539"/>
      <c r="E3" s="539"/>
      <c r="F3" s="539"/>
      <c r="G3" s="539"/>
      <c r="H3" s="539"/>
      <c r="I3" s="539"/>
      <c r="J3" s="9"/>
      <c r="K3" s="538" t="s">
        <v>310</v>
      </c>
      <c r="L3" s="538"/>
      <c r="M3" s="538"/>
      <c r="N3" s="538"/>
      <c r="O3" s="538"/>
      <c r="P3" s="538"/>
    </row>
    <row r="4" spans="2:16" ht="15" x14ac:dyDescent="0.2">
      <c r="B4" s="9"/>
      <c r="C4" s="143" t="s">
        <v>29</v>
      </c>
      <c r="D4" s="143" t="s">
        <v>311</v>
      </c>
      <c r="E4" s="144">
        <v>1</v>
      </c>
      <c r="F4" s="144">
        <v>1.5</v>
      </c>
      <c r="G4" s="144">
        <v>2</v>
      </c>
      <c r="H4" s="144">
        <v>2.5</v>
      </c>
      <c r="I4" s="144">
        <v>3</v>
      </c>
      <c r="J4" s="9"/>
      <c r="K4" s="139" t="s">
        <v>312</v>
      </c>
      <c r="L4" s="139" t="s">
        <v>30</v>
      </c>
      <c r="M4" s="139" t="s">
        <v>313</v>
      </c>
      <c r="N4" s="139" t="s">
        <v>314</v>
      </c>
      <c r="O4" s="139" t="s">
        <v>315</v>
      </c>
      <c r="P4" s="139" t="s">
        <v>316</v>
      </c>
    </row>
    <row r="5" spans="2:16" x14ac:dyDescent="0.2">
      <c r="B5" s="9"/>
      <c r="C5" s="141" t="s">
        <v>30</v>
      </c>
      <c r="D5" s="142" t="s">
        <v>317</v>
      </c>
      <c r="E5" s="140"/>
      <c r="F5" s="140"/>
      <c r="G5" s="140"/>
      <c r="H5" s="140"/>
      <c r="I5" s="140"/>
      <c r="J5" s="9"/>
      <c r="K5" s="139" t="s">
        <v>30</v>
      </c>
      <c r="L5" s="9" t="s">
        <v>317</v>
      </c>
      <c r="M5" s="9" t="str">
        <f>D78</f>
        <v>Boise Air Terminal</v>
      </c>
      <c r="N5" s="9" t="str">
        <f t="shared" ref="N5:N10" si="0">D81</f>
        <v>Billings Logan Intl AP</v>
      </c>
      <c r="O5" s="9" t="str">
        <f t="shared" ref="O5:O10" si="1">D88</f>
        <v>Astoria Regional AP</v>
      </c>
      <c r="P5" s="9" t="str">
        <f>D94</f>
        <v>Olympia AP</v>
      </c>
    </row>
    <row r="6" spans="2:16" x14ac:dyDescent="0.2">
      <c r="B6" s="9"/>
      <c r="C6" s="141" t="s">
        <v>30</v>
      </c>
      <c r="D6" s="142" t="s">
        <v>318</v>
      </c>
      <c r="E6" s="140"/>
      <c r="F6" s="140"/>
      <c r="G6" s="140"/>
      <c r="H6" s="140"/>
      <c r="I6" s="140"/>
      <c r="J6" s="9"/>
      <c r="K6" s="139" t="s">
        <v>313</v>
      </c>
      <c r="L6" s="9" t="s">
        <v>318</v>
      </c>
      <c r="M6" s="9" t="str">
        <f>D79</f>
        <v>Lewiston Nez Perce</v>
      </c>
      <c r="N6" s="9" t="str">
        <f t="shared" si="0"/>
        <v>Cut Bank Muni AP</v>
      </c>
      <c r="O6" s="9" t="str">
        <f t="shared" si="1"/>
        <v>Medford Rouge Valley</v>
      </c>
      <c r="P6" s="9" t="str">
        <f>D95</f>
        <v>Seattle Boeing Field</v>
      </c>
    </row>
    <row r="7" spans="2:16" x14ac:dyDescent="0.2">
      <c r="B7" s="9"/>
      <c r="C7" s="141" t="s">
        <v>30</v>
      </c>
      <c r="D7" s="142" t="s">
        <v>319</v>
      </c>
      <c r="E7" s="140"/>
      <c r="F7" s="140"/>
      <c r="G7" s="140"/>
      <c r="H7" s="140"/>
      <c r="I7" s="140"/>
      <c r="J7" s="9"/>
      <c r="K7" s="139" t="s">
        <v>314</v>
      </c>
      <c r="L7" s="9" t="s">
        <v>319</v>
      </c>
      <c r="M7" s="9" t="str">
        <f>D80</f>
        <v>Pocatello Regional AP</v>
      </c>
      <c r="N7" s="9" t="str">
        <f t="shared" si="0"/>
        <v>Dillon</v>
      </c>
      <c r="O7" s="9" t="str">
        <f t="shared" si="1"/>
        <v>North Bend Municipal AP</v>
      </c>
      <c r="P7" s="9" t="str">
        <f>D96</f>
        <v>Spokane International AP</v>
      </c>
    </row>
    <row r="8" spans="2:16" x14ac:dyDescent="0.2">
      <c r="B8" s="9"/>
      <c r="C8" s="141" t="s">
        <v>30</v>
      </c>
      <c r="D8" s="142" t="s">
        <v>320</v>
      </c>
      <c r="E8" s="140"/>
      <c r="F8" s="140"/>
      <c r="G8" s="140"/>
      <c r="H8" s="140"/>
      <c r="I8" s="140"/>
      <c r="J8" s="9"/>
      <c r="K8" s="139" t="s">
        <v>315</v>
      </c>
      <c r="L8" s="9" t="s">
        <v>320</v>
      </c>
      <c r="M8" s="9"/>
      <c r="N8" s="9" t="str">
        <f t="shared" si="0"/>
        <v>Great Falls Intl AP</v>
      </c>
      <c r="O8" s="9" t="str">
        <f t="shared" si="1"/>
        <v>Portland International AP</v>
      </c>
      <c r="P8" s="9" t="str">
        <f>D97</f>
        <v>Yakima Air Terminal</v>
      </c>
    </row>
    <row r="9" spans="2:16" x14ac:dyDescent="0.2">
      <c r="B9" s="9"/>
      <c r="C9" s="141" t="s">
        <v>30</v>
      </c>
      <c r="D9" s="142" t="s">
        <v>321</v>
      </c>
      <c r="E9" s="140"/>
      <c r="F9" s="140"/>
      <c r="G9" s="140"/>
      <c r="H9" s="140"/>
      <c r="I9" s="140"/>
      <c r="J9" s="9"/>
      <c r="K9" s="139" t="s">
        <v>316</v>
      </c>
      <c r="L9" s="9" t="s">
        <v>321</v>
      </c>
      <c r="M9" s="9"/>
      <c r="N9" s="9" t="str">
        <f t="shared" si="0"/>
        <v>Helena Regional AP</v>
      </c>
      <c r="O9" s="9" t="str">
        <f t="shared" si="1"/>
        <v>Redmond Roberts Field</v>
      </c>
      <c r="P9" s="9"/>
    </row>
    <row r="10" spans="2:16" x14ac:dyDescent="0.2">
      <c r="B10" s="9"/>
      <c r="C10" s="141" t="s">
        <v>30</v>
      </c>
      <c r="D10" s="142" t="s">
        <v>322</v>
      </c>
      <c r="E10" s="140"/>
      <c r="F10" s="140"/>
      <c r="G10" s="140"/>
      <c r="H10" s="140"/>
      <c r="I10" s="140"/>
      <c r="J10" s="9"/>
      <c r="K10" s="9"/>
      <c r="L10" s="9" t="s">
        <v>322</v>
      </c>
      <c r="M10" s="9"/>
      <c r="N10" s="9" t="str">
        <f t="shared" si="0"/>
        <v>Lewiston Muni AP</v>
      </c>
      <c r="O10" s="9" t="str">
        <f t="shared" si="1"/>
        <v>Salem McNary Field</v>
      </c>
      <c r="P10" s="9"/>
    </row>
    <row r="11" spans="2:16" x14ac:dyDescent="0.2">
      <c r="B11" s="9"/>
      <c r="C11" s="141" t="s">
        <v>30</v>
      </c>
      <c r="D11" s="142" t="s">
        <v>323</v>
      </c>
      <c r="E11" s="140"/>
      <c r="F11" s="140"/>
      <c r="G11" s="140"/>
      <c r="H11" s="140"/>
      <c r="I11" s="140"/>
      <c r="J11" s="9"/>
      <c r="K11" s="9"/>
      <c r="L11" s="9" t="s">
        <v>323</v>
      </c>
      <c r="M11" s="9"/>
      <c r="N11" s="9"/>
      <c r="O11" s="9"/>
      <c r="P11" s="9"/>
    </row>
    <row r="12" spans="2:16" x14ac:dyDescent="0.2">
      <c r="B12" s="9"/>
      <c r="C12" s="141" t="s">
        <v>30</v>
      </c>
      <c r="D12" s="142" t="s">
        <v>324</v>
      </c>
      <c r="E12" s="140"/>
      <c r="F12" s="140"/>
      <c r="G12" s="140"/>
      <c r="H12" s="140"/>
      <c r="I12" s="140"/>
      <c r="J12" s="9"/>
      <c r="K12" s="9"/>
      <c r="L12" s="9" t="s">
        <v>324</v>
      </c>
      <c r="M12" s="9"/>
      <c r="N12" s="9"/>
      <c r="O12" s="9"/>
      <c r="P12" s="9"/>
    </row>
    <row r="13" spans="2:16" x14ac:dyDescent="0.2">
      <c r="B13" s="9"/>
      <c r="C13" s="141" t="s">
        <v>30</v>
      </c>
      <c r="D13" s="142" t="s">
        <v>325</v>
      </c>
      <c r="E13" s="140"/>
      <c r="F13" s="140"/>
      <c r="G13" s="140"/>
      <c r="H13" s="140"/>
      <c r="I13" s="140"/>
      <c r="J13" s="9"/>
      <c r="K13" s="9"/>
      <c r="L13" s="9" t="s">
        <v>325</v>
      </c>
      <c r="M13" s="9"/>
      <c r="N13" s="9"/>
      <c r="O13" s="9"/>
      <c r="P13" s="9"/>
    </row>
    <row r="14" spans="2:16" x14ac:dyDescent="0.2">
      <c r="B14" s="9"/>
      <c r="C14" s="141" t="s">
        <v>30</v>
      </c>
      <c r="D14" s="142" t="s">
        <v>326</v>
      </c>
      <c r="E14" s="140"/>
      <c r="F14" s="140"/>
      <c r="G14" s="140"/>
      <c r="H14" s="140"/>
      <c r="I14" s="140"/>
      <c r="J14" s="9"/>
      <c r="K14" s="9"/>
      <c r="L14" s="9" t="s">
        <v>326</v>
      </c>
      <c r="M14" s="9"/>
      <c r="N14" s="9"/>
      <c r="O14" s="9"/>
      <c r="P14" s="9"/>
    </row>
    <row r="15" spans="2:16" x14ac:dyDescent="0.2">
      <c r="B15" s="9"/>
      <c r="C15" s="141" t="s">
        <v>30</v>
      </c>
      <c r="D15" s="142" t="s">
        <v>327</v>
      </c>
      <c r="E15" s="140"/>
      <c r="F15" s="140"/>
      <c r="G15" s="140"/>
      <c r="H15" s="140"/>
      <c r="I15" s="140"/>
      <c r="J15" s="9"/>
      <c r="K15" s="9"/>
      <c r="L15" s="9" t="s">
        <v>327</v>
      </c>
      <c r="M15" s="9"/>
      <c r="N15" s="9"/>
      <c r="O15" s="9"/>
      <c r="P15" s="9"/>
    </row>
    <row r="16" spans="2:16" x14ac:dyDescent="0.2">
      <c r="B16" s="9"/>
      <c r="C16" s="141" t="s">
        <v>30</v>
      </c>
      <c r="D16" s="142" t="s">
        <v>328</v>
      </c>
      <c r="E16" s="140"/>
      <c r="F16" s="140"/>
      <c r="G16" s="140"/>
      <c r="H16" s="140"/>
      <c r="I16" s="140"/>
      <c r="J16" s="9"/>
      <c r="K16" s="9"/>
      <c r="L16" s="9" t="s">
        <v>328</v>
      </c>
      <c r="M16" s="9"/>
      <c r="N16" s="9"/>
      <c r="O16" s="9"/>
      <c r="P16" s="9"/>
    </row>
    <row r="17" spans="3:12" x14ac:dyDescent="0.2">
      <c r="C17" s="141" t="s">
        <v>30</v>
      </c>
      <c r="D17" s="142" t="s">
        <v>329</v>
      </c>
      <c r="E17" s="140"/>
      <c r="F17" s="140"/>
      <c r="G17" s="140"/>
      <c r="H17" s="140"/>
      <c r="I17" s="140"/>
      <c r="J17" s="9"/>
      <c r="K17" s="9"/>
      <c r="L17" s="9" t="s">
        <v>329</v>
      </c>
    </row>
    <row r="18" spans="3:12" x14ac:dyDescent="0.2">
      <c r="C18" s="141" t="s">
        <v>30</v>
      </c>
      <c r="D18" s="142" t="s">
        <v>330</v>
      </c>
      <c r="E18" s="140"/>
      <c r="F18" s="140"/>
      <c r="G18" s="140"/>
      <c r="H18" s="140"/>
      <c r="I18" s="140"/>
      <c r="J18" s="9"/>
      <c r="K18" s="9"/>
      <c r="L18" s="9" t="s">
        <v>330</v>
      </c>
    </row>
    <row r="19" spans="3:12" x14ac:dyDescent="0.2">
      <c r="C19" s="141" t="s">
        <v>30</v>
      </c>
      <c r="D19" s="142" t="s">
        <v>331</v>
      </c>
      <c r="E19" s="140"/>
      <c r="F19" s="140"/>
      <c r="G19" s="140"/>
      <c r="H19" s="140"/>
      <c r="I19" s="140"/>
      <c r="J19" s="9"/>
      <c r="K19" s="9"/>
      <c r="L19" s="9" t="s">
        <v>331</v>
      </c>
    </row>
    <row r="20" spans="3:12" x14ac:dyDescent="0.2">
      <c r="C20" s="141" t="s">
        <v>30</v>
      </c>
      <c r="D20" s="142" t="s">
        <v>332</v>
      </c>
      <c r="E20" s="140"/>
      <c r="F20" s="140"/>
      <c r="G20" s="140"/>
      <c r="H20" s="140"/>
      <c r="I20" s="140"/>
      <c r="J20" s="9"/>
      <c r="K20" s="9"/>
      <c r="L20" s="9" t="s">
        <v>332</v>
      </c>
    </row>
    <row r="21" spans="3:12" x14ac:dyDescent="0.2">
      <c r="C21" s="141" t="s">
        <v>30</v>
      </c>
      <c r="D21" s="142" t="s">
        <v>333</v>
      </c>
      <c r="E21" s="140"/>
      <c r="F21" s="140"/>
      <c r="G21" s="140"/>
      <c r="H21" s="140"/>
      <c r="I21" s="140"/>
      <c r="J21" s="9"/>
      <c r="K21" s="9"/>
      <c r="L21" s="9" t="s">
        <v>333</v>
      </c>
    </row>
    <row r="22" spans="3:12" x14ac:dyDescent="0.2">
      <c r="C22" s="141" t="s">
        <v>30</v>
      </c>
      <c r="D22" s="142" t="s">
        <v>334</v>
      </c>
      <c r="E22" s="140"/>
      <c r="F22" s="140"/>
      <c r="G22" s="140"/>
      <c r="H22" s="140"/>
      <c r="I22" s="140"/>
      <c r="J22" s="9"/>
      <c r="K22" s="9"/>
      <c r="L22" s="9" t="s">
        <v>334</v>
      </c>
    </row>
    <row r="23" spans="3:12" x14ac:dyDescent="0.2">
      <c r="C23" s="141" t="s">
        <v>30</v>
      </c>
      <c r="D23" s="142" t="s">
        <v>335</v>
      </c>
      <c r="E23" s="140"/>
      <c r="F23" s="140"/>
      <c r="G23" s="140"/>
      <c r="H23" s="140"/>
      <c r="I23" s="140"/>
      <c r="J23" s="9"/>
      <c r="K23" s="9"/>
      <c r="L23" s="9" t="s">
        <v>335</v>
      </c>
    </row>
    <row r="24" spans="3:12" x14ac:dyDescent="0.2">
      <c r="C24" s="141" t="s">
        <v>30</v>
      </c>
      <c r="D24" s="142" t="s">
        <v>336</v>
      </c>
      <c r="E24" s="140"/>
      <c r="F24" s="140"/>
      <c r="G24" s="140"/>
      <c r="H24" s="140"/>
      <c r="I24" s="140"/>
      <c r="J24" s="9"/>
      <c r="K24" s="9"/>
      <c r="L24" s="9" t="s">
        <v>336</v>
      </c>
    </row>
    <row r="25" spans="3:12" x14ac:dyDescent="0.2">
      <c r="C25" s="141" t="s">
        <v>30</v>
      </c>
      <c r="D25" s="142" t="s">
        <v>337</v>
      </c>
      <c r="E25" s="140"/>
      <c r="F25" s="140"/>
      <c r="G25" s="140"/>
      <c r="H25" s="140"/>
      <c r="I25" s="140"/>
      <c r="J25" s="9"/>
      <c r="K25" s="9"/>
      <c r="L25" s="9" t="s">
        <v>337</v>
      </c>
    </row>
    <row r="26" spans="3:12" x14ac:dyDescent="0.2">
      <c r="C26" s="141" t="s">
        <v>30</v>
      </c>
      <c r="D26" s="142" t="s">
        <v>338</v>
      </c>
      <c r="E26" s="140"/>
      <c r="F26" s="140"/>
      <c r="G26" s="140"/>
      <c r="H26" s="140"/>
      <c r="I26" s="140"/>
      <c r="J26" s="9"/>
      <c r="K26" s="9"/>
      <c r="L26" s="9" t="s">
        <v>338</v>
      </c>
    </row>
    <row r="27" spans="3:12" x14ac:dyDescent="0.2">
      <c r="C27" s="141" t="s">
        <v>30</v>
      </c>
      <c r="D27" s="142" t="s">
        <v>339</v>
      </c>
      <c r="E27" s="140"/>
      <c r="F27" s="140"/>
      <c r="G27" s="140"/>
      <c r="H27" s="140"/>
      <c r="I27" s="140"/>
      <c r="J27" s="9"/>
      <c r="K27" s="9"/>
      <c r="L27" s="9" t="s">
        <v>339</v>
      </c>
    </row>
    <row r="28" spans="3:12" x14ac:dyDescent="0.2">
      <c r="C28" s="141" t="s">
        <v>30</v>
      </c>
      <c r="D28" s="142" t="s">
        <v>340</v>
      </c>
      <c r="E28" s="140"/>
      <c r="F28" s="140"/>
      <c r="G28" s="140"/>
      <c r="H28" s="140"/>
      <c r="I28" s="140"/>
      <c r="J28" s="9"/>
      <c r="K28" s="9"/>
      <c r="L28" s="9" t="s">
        <v>340</v>
      </c>
    </row>
    <row r="29" spans="3:12" x14ac:dyDescent="0.2">
      <c r="C29" s="141" t="s">
        <v>30</v>
      </c>
      <c r="D29" s="142" t="s">
        <v>341</v>
      </c>
      <c r="E29" s="140"/>
      <c r="F29" s="140"/>
      <c r="G29" s="140"/>
      <c r="H29" s="140"/>
      <c r="I29" s="140"/>
      <c r="J29" s="9"/>
      <c r="K29" s="9"/>
      <c r="L29" s="9" t="s">
        <v>341</v>
      </c>
    </row>
    <row r="30" spans="3:12" x14ac:dyDescent="0.2">
      <c r="C30" s="141" t="s">
        <v>30</v>
      </c>
      <c r="D30" s="142" t="s">
        <v>342</v>
      </c>
      <c r="E30" s="140"/>
      <c r="F30" s="140"/>
      <c r="G30" s="140"/>
      <c r="H30" s="140"/>
      <c r="I30" s="140"/>
      <c r="J30" s="9"/>
      <c r="K30" s="9"/>
      <c r="L30" s="9" t="s">
        <v>342</v>
      </c>
    </row>
    <row r="31" spans="3:12" x14ac:dyDescent="0.2">
      <c r="C31" s="141" t="s">
        <v>30</v>
      </c>
      <c r="D31" s="142" t="s">
        <v>343</v>
      </c>
      <c r="E31" s="140"/>
      <c r="F31" s="140"/>
      <c r="G31" s="140"/>
      <c r="H31" s="140"/>
      <c r="I31" s="140"/>
      <c r="J31" s="9"/>
      <c r="K31" s="9"/>
      <c r="L31" s="9" t="s">
        <v>343</v>
      </c>
    </row>
    <row r="32" spans="3:12" x14ac:dyDescent="0.2">
      <c r="C32" s="141" t="s">
        <v>30</v>
      </c>
      <c r="D32" s="142" t="s">
        <v>344</v>
      </c>
      <c r="E32" s="140"/>
      <c r="F32" s="140"/>
      <c r="G32" s="140"/>
      <c r="H32" s="140"/>
      <c r="I32" s="140"/>
      <c r="J32" s="9"/>
      <c r="K32" s="9"/>
      <c r="L32" s="9" t="s">
        <v>344</v>
      </c>
    </row>
    <row r="33" spans="3:12" x14ac:dyDescent="0.2">
      <c r="C33" s="141" t="s">
        <v>30</v>
      </c>
      <c r="D33" s="142" t="s">
        <v>345</v>
      </c>
      <c r="E33" s="140"/>
      <c r="F33" s="140"/>
      <c r="G33" s="140"/>
      <c r="H33" s="140"/>
      <c r="I33" s="140"/>
      <c r="J33" s="9"/>
      <c r="K33" s="9"/>
      <c r="L33" s="9" t="s">
        <v>345</v>
      </c>
    </row>
    <row r="34" spans="3:12" x14ac:dyDescent="0.2">
      <c r="C34" s="141" t="s">
        <v>30</v>
      </c>
      <c r="D34" s="142" t="s">
        <v>346</v>
      </c>
      <c r="E34" s="140"/>
      <c r="F34" s="140"/>
      <c r="G34" s="140"/>
      <c r="H34" s="140"/>
      <c r="I34" s="140"/>
      <c r="J34" s="9"/>
      <c r="K34" s="9"/>
      <c r="L34" s="9" t="s">
        <v>346</v>
      </c>
    </row>
    <row r="35" spans="3:12" x14ac:dyDescent="0.2">
      <c r="C35" s="141" t="s">
        <v>30</v>
      </c>
      <c r="D35" s="142" t="s">
        <v>347</v>
      </c>
      <c r="E35" s="140"/>
      <c r="F35" s="140"/>
      <c r="G35" s="140"/>
      <c r="H35" s="140"/>
      <c r="I35" s="140"/>
      <c r="J35" s="9"/>
      <c r="K35" s="9"/>
      <c r="L35" s="9" t="s">
        <v>347</v>
      </c>
    </row>
    <row r="36" spans="3:12" x14ac:dyDescent="0.2">
      <c r="C36" s="141" t="s">
        <v>30</v>
      </c>
      <c r="D36" s="142" t="s">
        <v>348</v>
      </c>
      <c r="E36" s="140"/>
      <c r="F36" s="140"/>
      <c r="G36" s="140"/>
      <c r="H36" s="140"/>
      <c r="I36" s="140"/>
      <c r="J36" s="9"/>
      <c r="K36" s="9"/>
      <c r="L36" s="9" t="s">
        <v>348</v>
      </c>
    </row>
    <row r="37" spans="3:12" x14ac:dyDescent="0.2">
      <c r="C37" s="141" t="s">
        <v>30</v>
      </c>
      <c r="D37" s="142" t="s">
        <v>349</v>
      </c>
      <c r="E37" s="140"/>
      <c r="F37" s="140"/>
      <c r="G37" s="140"/>
      <c r="H37" s="140"/>
      <c r="I37" s="140"/>
      <c r="J37" s="9"/>
      <c r="K37" s="9"/>
      <c r="L37" s="9" t="s">
        <v>349</v>
      </c>
    </row>
    <row r="38" spans="3:12" x14ac:dyDescent="0.2">
      <c r="C38" s="141" t="s">
        <v>30</v>
      </c>
      <c r="D38" s="142" t="s">
        <v>350</v>
      </c>
      <c r="E38" s="140"/>
      <c r="F38" s="140"/>
      <c r="G38" s="140"/>
      <c r="H38" s="140"/>
      <c r="I38" s="140"/>
      <c r="J38" s="9"/>
      <c r="K38" s="9"/>
      <c r="L38" s="9" t="s">
        <v>350</v>
      </c>
    </row>
    <row r="39" spans="3:12" x14ac:dyDescent="0.2">
      <c r="C39" s="141" t="s">
        <v>30</v>
      </c>
      <c r="D39" s="142" t="s">
        <v>351</v>
      </c>
      <c r="E39" s="140"/>
      <c r="F39" s="140"/>
      <c r="G39" s="140"/>
      <c r="H39" s="140"/>
      <c r="I39" s="140"/>
      <c r="J39" s="9"/>
      <c r="K39" s="9"/>
      <c r="L39" s="9" t="s">
        <v>351</v>
      </c>
    </row>
    <row r="40" spans="3:12" x14ac:dyDescent="0.2">
      <c r="C40" s="141" t="s">
        <v>30</v>
      </c>
      <c r="D40" s="142" t="s">
        <v>352</v>
      </c>
      <c r="E40" s="140"/>
      <c r="F40" s="140"/>
      <c r="G40" s="140"/>
      <c r="H40" s="140"/>
      <c r="I40" s="140"/>
      <c r="J40" s="9"/>
      <c r="K40" s="9"/>
      <c r="L40" s="9" t="s">
        <v>352</v>
      </c>
    </row>
    <row r="41" spans="3:12" x14ac:dyDescent="0.2">
      <c r="C41" s="141" t="s">
        <v>30</v>
      </c>
      <c r="D41" s="142" t="s">
        <v>353</v>
      </c>
      <c r="E41" s="140"/>
      <c r="F41" s="140"/>
      <c r="G41" s="140"/>
      <c r="H41" s="140"/>
      <c r="I41" s="140"/>
      <c r="J41" s="9"/>
      <c r="K41" s="9"/>
      <c r="L41" s="9" t="s">
        <v>353</v>
      </c>
    </row>
    <row r="42" spans="3:12" x14ac:dyDescent="0.2">
      <c r="C42" s="141" t="s">
        <v>30</v>
      </c>
      <c r="D42" s="142" t="s">
        <v>354</v>
      </c>
      <c r="E42" s="140"/>
      <c r="F42" s="140"/>
      <c r="G42" s="140"/>
      <c r="H42" s="140"/>
      <c r="I42" s="140"/>
      <c r="J42" s="9"/>
      <c r="K42" s="9"/>
      <c r="L42" s="9" t="s">
        <v>354</v>
      </c>
    </row>
    <row r="43" spans="3:12" x14ac:dyDescent="0.2">
      <c r="C43" s="141" t="s">
        <v>30</v>
      </c>
      <c r="D43" s="142" t="s">
        <v>355</v>
      </c>
      <c r="E43" s="140"/>
      <c r="F43" s="140"/>
      <c r="G43" s="140"/>
      <c r="H43" s="140"/>
      <c r="I43" s="140"/>
      <c r="J43" s="9"/>
      <c r="K43" s="9"/>
      <c r="L43" s="9" t="s">
        <v>355</v>
      </c>
    </row>
    <row r="44" spans="3:12" x14ac:dyDescent="0.2">
      <c r="C44" s="141" t="s">
        <v>30</v>
      </c>
      <c r="D44" s="142" t="s">
        <v>356</v>
      </c>
      <c r="E44" s="140"/>
      <c r="F44" s="140"/>
      <c r="G44" s="140"/>
      <c r="H44" s="140"/>
      <c r="I44" s="140"/>
      <c r="J44" s="9"/>
      <c r="K44" s="9"/>
      <c r="L44" s="9" t="s">
        <v>356</v>
      </c>
    </row>
    <row r="45" spans="3:12" x14ac:dyDescent="0.2">
      <c r="C45" s="141" t="s">
        <v>30</v>
      </c>
      <c r="D45" s="142" t="s">
        <v>357</v>
      </c>
      <c r="E45" s="140"/>
      <c r="F45" s="140"/>
      <c r="G45" s="140"/>
      <c r="H45" s="140"/>
      <c r="I45" s="140"/>
      <c r="J45" s="9"/>
      <c r="K45" s="9"/>
      <c r="L45" s="9" t="s">
        <v>357</v>
      </c>
    </row>
    <row r="46" spans="3:12" x14ac:dyDescent="0.2">
      <c r="C46" s="141" t="s">
        <v>30</v>
      </c>
      <c r="D46" s="142" t="s">
        <v>358</v>
      </c>
      <c r="E46" s="140"/>
      <c r="F46" s="140"/>
      <c r="G46" s="140"/>
      <c r="H46" s="140"/>
      <c r="I46" s="140"/>
      <c r="J46" s="9"/>
      <c r="K46" s="9"/>
      <c r="L46" s="9" t="s">
        <v>358</v>
      </c>
    </row>
    <row r="47" spans="3:12" x14ac:dyDescent="0.2">
      <c r="C47" s="141" t="s">
        <v>30</v>
      </c>
      <c r="D47" s="142" t="s">
        <v>359</v>
      </c>
      <c r="E47" s="140"/>
      <c r="F47" s="140"/>
      <c r="G47" s="140"/>
      <c r="H47" s="140"/>
      <c r="I47" s="140"/>
      <c r="J47" s="9"/>
      <c r="K47" s="9"/>
      <c r="L47" s="9" t="s">
        <v>359</v>
      </c>
    </row>
    <row r="48" spans="3:12" x14ac:dyDescent="0.2">
      <c r="C48" s="141" t="s">
        <v>30</v>
      </c>
      <c r="D48" s="142" t="s">
        <v>360</v>
      </c>
      <c r="E48" s="140"/>
      <c r="F48" s="140"/>
      <c r="G48" s="140"/>
      <c r="H48" s="140"/>
      <c r="I48" s="140"/>
      <c r="J48" s="9"/>
      <c r="K48" s="9"/>
      <c r="L48" s="9" t="s">
        <v>360</v>
      </c>
    </row>
    <row r="49" spans="3:12" x14ac:dyDescent="0.2">
      <c r="C49" s="141" t="s">
        <v>30</v>
      </c>
      <c r="D49" s="142" t="s">
        <v>361</v>
      </c>
      <c r="E49" s="140"/>
      <c r="F49" s="140"/>
      <c r="G49" s="140"/>
      <c r="H49" s="140"/>
      <c r="I49" s="140"/>
      <c r="J49" s="9"/>
      <c r="K49" s="9"/>
      <c r="L49" s="9" t="s">
        <v>361</v>
      </c>
    </row>
    <row r="50" spans="3:12" x14ac:dyDescent="0.2">
      <c r="C50" s="141" t="s">
        <v>30</v>
      </c>
      <c r="D50" s="142" t="s">
        <v>362</v>
      </c>
      <c r="E50" s="140"/>
      <c r="F50" s="140"/>
      <c r="G50" s="140"/>
      <c r="H50" s="140"/>
      <c r="I50" s="140"/>
      <c r="J50" s="9"/>
      <c r="K50" s="9"/>
      <c r="L50" s="9" t="s">
        <v>362</v>
      </c>
    </row>
    <row r="51" spans="3:12" x14ac:dyDescent="0.2">
      <c r="C51" s="141" t="s">
        <v>30</v>
      </c>
      <c r="D51" s="142" t="s">
        <v>363</v>
      </c>
      <c r="E51" s="140"/>
      <c r="F51" s="140"/>
      <c r="G51" s="140"/>
      <c r="H51" s="140"/>
      <c r="I51" s="140"/>
      <c r="J51" s="9"/>
      <c r="K51" s="9"/>
      <c r="L51" s="9" t="s">
        <v>363</v>
      </c>
    </row>
    <row r="52" spans="3:12" x14ac:dyDescent="0.2">
      <c r="C52" s="141" t="s">
        <v>30</v>
      </c>
      <c r="D52" s="142" t="s">
        <v>364</v>
      </c>
      <c r="E52" s="140"/>
      <c r="F52" s="140"/>
      <c r="G52" s="140"/>
      <c r="H52" s="140"/>
      <c r="I52" s="140"/>
      <c r="J52" s="9"/>
      <c r="K52" s="9"/>
      <c r="L52" s="9" t="s">
        <v>364</v>
      </c>
    </row>
    <row r="53" spans="3:12" x14ac:dyDescent="0.2">
      <c r="C53" s="141" t="s">
        <v>30</v>
      </c>
      <c r="D53" s="142" t="s">
        <v>365</v>
      </c>
      <c r="E53" s="140"/>
      <c r="F53" s="140"/>
      <c r="G53" s="140"/>
      <c r="H53" s="140"/>
      <c r="I53" s="140"/>
      <c r="J53" s="9"/>
      <c r="K53" s="9"/>
      <c r="L53" s="9" t="s">
        <v>365</v>
      </c>
    </row>
    <row r="54" spans="3:12" x14ac:dyDescent="0.2">
      <c r="C54" s="141" t="s">
        <v>30</v>
      </c>
      <c r="D54" s="142" t="s">
        <v>366</v>
      </c>
      <c r="E54" s="140"/>
      <c r="F54" s="140"/>
      <c r="G54" s="140"/>
      <c r="H54" s="140"/>
      <c r="I54" s="140"/>
      <c r="J54" s="9"/>
      <c r="K54" s="9"/>
      <c r="L54" s="9" t="s">
        <v>366</v>
      </c>
    </row>
    <row r="55" spans="3:12" x14ac:dyDescent="0.2">
      <c r="C55" s="141" t="s">
        <v>30</v>
      </c>
      <c r="D55" s="142" t="s">
        <v>367</v>
      </c>
      <c r="E55" s="140"/>
      <c r="F55" s="140"/>
      <c r="G55" s="140"/>
      <c r="H55" s="140"/>
      <c r="I55" s="140"/>
      <c r="J55" s="9"/>
      <c r="K55" s="9"/>
      <c r="L55" s="9" t="s">
        <v>367</v>
      </c>
    </row>
    <row r="56" spans="3:12" x14ac:dyDescent="0.2">
      <c r="C56" s="141" t="s">
        <v>30</v>
      </c>
      <c r="D56" s="142" t="s">
        <v>368</v>
      </c>
      <c r="E56" s="140"/>
      <c r="F56" s="140"/>
      <c r="G56" s="140"/>
      <c r="H56" s="140"/>
      <c r="I56" s="140"/>
      <c r="J56" s="9"/>
      <c r="K56" s="9"/>
      <c r="L56" s="9" t="s">
        <v>368</v>
      </c>
    </row>
    <row r="57" spans="3:12" x14ac:dyDescent="0.2">
      <c r="C57" s="141" t="s">
        <v>30</v>
      </c>
      <c r="D57" s="142" t="s">
        <v>369</v>
      </c>
      <c r="E57" s="140"/>
      <c r="F57" s="140"/>
      <c r="G57" s="140"/>
      <c r="H57" s="140"/>
      <c r="I57" s="140"/>
      <c r="J57" s="9"/>
      <c r="K57" s="9"/>
      <c r="L57" s="9" t="s">
        <v>369</v>
      </c>
    </row>
    <row r="58" spans="3:12" x14ac:dyDescent="0.2">
      <c r="C58" s="141" t="s">
        <v>30</v>
      </c>
      <c r="D58" s="142" t="s">
        <v>370</v>
      </c>
      <c r="E58" s="140"/>
      <c r="F58" s="140"/>
      <c r="G58" s="140"/>
      <c r="H58" s="140"/>
      <c r="I58" s="140"/>
      <c r="J58" s="9"/>
      <c r="K58" s="9"/>
      <c r="L58" s="9" t="s">
        <v>370</v>
      </c>
    </row>
    <row r="59" spans="3:12" x14ac:dyDescent="0.2">
      <c r="C59" s="141" t="s">
        <v>30</v>
      </c>
      <c r="D59" s="142" t="s">
        <v>371</v>
      </c>
      <c r="E59" s="140"/>
      <c r="F59" s="140"/>
      <c r="G59" s="140"/>
      <c r="H59" s="140"/>
      <c r="I59" s="140"/>
      <c r="J59" s="9"/>
      <c r="K59" s="9"/>
      <c r="L59" s="9" t="s">
        <v>371</v>
      </c>
    </row>
    <row r="60" spans="3:12" x14ac:dyDescent="0.2">
      <c r="C60" s="141" t="s">
        <v>30</v>
      </c>
      <c r="D60" s="142" t="s">
        <v>372</v>
      </c>
      <c r="E60" s="140"/>
      <c r="F60" s="140"/>
      <c r="G60" s="140"/>
      <c r="H60" s="140"/>
      <c r="I60" s="140"/>
      <c r="J60" s="9"/>
      <c r="K60" s="9"/>
      <c r="L60" s="9" t="s">
        <v>372</v>
      </c>
    </row>
    <row r="61" spans="3:12" x14ac:dyDescent="0.2">
      <c r="C61" s="141" t="s">
        <v>30</v>
      </c>
      <c r="D61" s="142" t="s">
        <v>373</v>
      </c>
      <c r="E61" s="140"/>
      <c r="F61" s="140"/>
      <c r="G61" s="140"/>
      <c r="H61" s="140"/>
      <c r="I61" s="140"/>
      <c r="J61" s="9"/>
      <c r="K61" s="9"/>
      <c r="L61" s="9" t="s">
        <v>373</v>
      </c>
    </row>
    <row r="62" spans="3:12" x14ac:dyDescent="0.2">
      <c r="C62" s="141" t="s">
        <v>30</v>
      </c>
      <c r="D62" s="142" t="s">
        <v>374</v>
      </c>
      <c r="E62" s="140"/>
      <c r="F62" s="140"/>
      <c r="G62" s="140"/>
      <c r="H62" s="140"/>
      <c r="I62" s="140"/>
      <c r="J62" s="9"/>
      <c r="K62" s="9"/>
      <c r="L62" s="9" t="s">
        <v>374</v>
      </c>
    </row>
    <row r="63" spans="3:12" x14ac:dyDescent="0.2">
      <c r="C63" s="141" t="s">
        <v>30</v>
      </c>
      <c r="D63" s="142" t="s">
        <v>375</v>
      </c>
      <c r="E63" s="140"/>
      <c r="F63" s="140"/>
      <c r="G63" s="140"/>
      <c r="H63" s="140"/>
      <c r="I63" s="140"/>
      <c r="J63" s="9"/>
      <c r="K63" s="9"/>
      <c r="L63" s="9" t="s">
        <v>375</v>
      </c>
    </row>
    <row r="64" spans="3:12" x14ac:dyDescent="0.2">
      <c r="C64" s="141" t="s">
        <v>30</v>
      </c>
      <c r="D64" s="142" t="s">
        <v>376</v>
      </c>
      <c r="E64" s="140"/>
      <c r="F64" s="140"/>
      <c r="G64" s="140"/>
      <c r="H64" s="140"/>
      <c r="I64" s="140"/>
      <c r="J64" s="9"/>
      <c r="K64" s="9"/>
      <c r="L64" s="9" t="s">
        <v>376</v>
      </c>
    </row>
    <row r="65" spans="3:12" x14ac:dyDescent="0.2">
      <c r="C65" s="141" t="s">
        <v>30</v>
      </c>
      <c r="D65" s="142" t="s">
        <v>377</v>
      </c>
      <c r="E65" s="140"/>
      <c r="F65" s="140"/>
      <c r="G65" s="140"/>
      <c r="H65" s="140"/>
      <c r="I65" s="140"/>
      <c r="J65" s="9"/>
      <c r="K65" s="9"/>
      <c r="L65" s="9" t="s">
        <v>377</v>
      </c>
    </row>
    <row r="66" spans="3:12" x14ac:dyDescent="0.2">
      <c r="C66" s="141" t="s">
        <v>30</v>
      </c>
      <c r="D66" s="142" t="s">
        <v>378</v>
      </c>
      <c r="E66" s="140"/>
      <c r="F66" s="140"/>
      <c r="G66" s="140"/>
      <c r="H66" s="140"/>
      <c r="I66" s="140"/>
      <c r="J66" s="9"/>
      <c r="K66" s="9"/>
      <c r="L66" s="9" t="s">
        <v>378</v>
      </c>
    </row>
    <row r="67" spans="3:12" x14ac:dyDescent="0.2">
      <c r="C67" s="141" t="s">
        <v>30</v>
      </c>
      <c r="D67" s="142" t="s">
        <v>379</v>
      </c>
      <c r="E67" s="140"/>
      <c r="F67" s="140"/>
      <c r="G67" s="140"/>
      <c r="H67" s="140"/>
      <c r="I67" s="140"/>
      <c r="J67" s="9"/>
      <c r="K67" s="9"/>
      <c r="L67" s="9" t="s">
        <v>379</v>
      </c>
    </row>
    <row r="68" spans="3:12" x14ac:dyDescent="0.2">
      <c r="C68" s="141" t="s">
        <v>30</v>
      </c>
      <c r="D68" s="142" t="s">
        <v>380</v>
      </c>
      <c r="E68" s="140"/>
      <c r="F68" s="140"/>
      <c r="G68" s="140"/>
      <c r="H68" s="140"/>
      <c r="I68" s="140"/>
      <c r="J68" s="9"/>
      <c r="K68" s="9"/>
      <c r="L68" s="9" t="s">
        <v>380</v>
      </c>
    </row>
    <row r="69" spans="3:12" x14ac:dyDescent="0.2">
      <c r="C69" s="141" t="s">
        <v>30</v>
      </c>
      <c r="D69" s="142" t="s">
        <v>381</v>
      </c>
      <c r="E69" s="140"/>
      <c r="F69" s="140"/>
      <c r="G69" s="140"/>
      <c r="H69" s="140"/>
      <c r="I69" s="140"/>
      <c r="J69" s="9"/>
      <c r="K69" s="9"/>
      <c r="L69" s="9" t="s">
        <v>381</v>
      </c>
    </row>
    <row r="70" spans="3:12" x14ac:dyDescent="0.2">
      <c r="C70" s="141" t="s">
        <v>30</v>
      </c>
      <c r="D70" s="142" t="s">
        <v>382</v>
      </c>
      <c r="E70" s="140"/>
      <c r="F70" s="140"/>
      <c r="G70" s="140"/>
      <c r="H70" s="140"/>
      <c r="I70" s="140"/>
      <c r="J70" s="9"/>
      <c r="K70" s="9"/>
      <c r="L70" s="9" t="s">
        <v>382</v>
      </c>
    </row>
    <row r="71" spans="3:12" x14ac:dyDescent="0.2">
      <c r="C71" s="141" t="s">
        <v>30</v>
      </c>
      <c r="D71" s="142" t="s">
        <v>383</v>
      </c>
      <c r="E71" s="140"/>
      <c r="F71" s="140"/>
      <c r="G71" s="140"/>
      <c r="H71" s="140"/>
      <c r="I71" s="140"/>
      <c r="J71" s="9"/>
      <c r="K71" s="9"/>
      <c r="L71" s="9" t="s">
        <v>383</v>
      </c>
    </row>
    <row r="72" spans="3:12" x14ac:dyDescent="0.2">
      <c r="C72" s="141" t="s">
        <v>30</v>
      </c>
      <c r="D72" s="142" t="s">
        <v>384</v>
      </c>
      <c r="E72" s="140"/>
      <c r="F72" s="140"/>
      <c r="G72" s="140"/>
      <c r="H72" s="140"/>
      <c r="I72" s="140"/>
      <c r="J72" s="9"/>
      <c r="K72" s="9"/>
      <c r="L72" s="9" t="s">
        <v>384</v>
      </c>
    </row>
    <row r="73" spans="3:12" x14ac:dyDescent="0.2">
      <c r="C73" s="141" t="s">
        <v>30</v>
      </c>
      <c r="D73" s="142" t="s">
        <v>385</v>
      </c>
      <c r="E73" s="140"/>
      <c r="F73" s="140"/>
      <c r="G73" s="140"/>
      <c r="H73" s="140"/>
      <c r="I73" s="140"/>
      <c r="J73" s="9"/>
      <c r="K73" s="9"/>
      <c r="L73" s="9" t="s">
        <v>385</v>
      </c>
    </row>
    <row r="74" spans="3:12" x14ac:dyDescent="0.2">
      <c r="C74" s="141" t="s">
        <v>30</v>
      </c>
      <c r="D74" s="142" t="s">
        <v>386</v>
      </c>
      <c r="E74" s="140"/>
      <c r="F74" s="140"/>
      <c r="G74" s="140"/>
      <c r="H74" s="140"/>
      <c r="I74" s="140"/>
      <c r="J74" s="9"/>
      <c r="K74" s="9"/>
      <c r="L74" s="9" t="s">
        <v>386</v>
      </c>
    </row>
    <row r="75" spans="3:12" x14ac:dyDescent="0.2">
      <c r="C75" s="141" t="s">
        <v>30</v>
      </c>
      <c r="D75" s="142" t="s">
        <v>387</v>
      </c>
      <c r="E75" s="140"/>
      <c r="F75" s="140"/>
      <c r="G75" s="140"/>
      <c r="H75" s="140"/>
      <c r="I75" s="140"/>
      <c r="J75" s="9"/>
      <c r="K75" s="9"/>
      <c r="L75" s="9" t="s">
        <v>387</v>
      </c>
    </row>
    <row r="76" spans="3:12" x14ac:dyDescent="0.2">
      <c r="C76" s="141" t="s">
        <v>30</v>
      </c>
      <c r="D76" s="142" t="s">
        <v>388</v>
      </c>
      <c r="E76" s="140"/>
      <c r="F76" s="140"/>
      <c r="G76" s="140"/>
      <c r="H76" s="140"/>
      <c r="I76" s="140"/>
      <c r="J76" s="9"/>
      <c r="K76" s="9"/>
      <c r="L76" s="9" t="s">
        <v>388</v>
      </c>
    </row>
    <row r="77" spans="3:12" x14ac:dyDescent="0.2">
      <c r="C77" s="141" t="s">
        <v>30</v>
      </c>
      <c r="D77" s="142" t="s">
        <v>389</v>
      </c>
      <c r="E77" s="140"/>
      <c r="F77" s="140"/>
      <c r="G77" s="140"/>
      <c r="H77" s="140"/>
      <c r="I77" s="140"/>
      <c r="J77" s="9"/>
      <c r="K77" s="9"/>
      <c r="L77" s="9" t="s">
        <v>389</v>
      </c>
    </row>
    <row r="78" spans="3:12" x14ac:dyDescent="0.2">
      <c r="C78" s="141" t="s">
        <v>313</v>
      </c>
      <c r="D78" s="142" t="s">
        <v>390</v>
      </c>
      <c r="E78" s="140">
        <v>23</v>
      </c>
      <c r="F78" s="140">
        <v>20</v>
      </c>
      <c r="G78" s="140">
        <v>18</v>
      </c>
      <c r="H78" s="140">
        <v>17</v>
      </c>
      <c r="I78" s="140">
        <v>16</v>
      </c>
      <c r="J78" s="9"/>
      <c r="K78" s="9"/>
      <c r="L78" s="9"/>
    </row>
    <row r="79" spans="3:12" x14ac:dyDescent="0.2">
      <c r="C79" s="141" t="s">
        <v>313</v>
      </c>
      <c r="D79" s="142" t="s">
        <v>391</v>
      </c>
      <c r="E79" s="140">
        <v>28</v>
      </c>
      <c r="F79" s="140">
        <v>25</v>
      </c>
      <c r="G79" s="140">
        <v>23</v>
      </c>
      <c r="H79" s="140">
        <v>21</v>
      </c>
      <c r="I79" s="140">
        <v>20</v>
      </c>
      <c r="J79" s="9"/>
      <c r="K79" s="9"/>
      <c r="L79" s="9"/>
    </row>
    <row r="80" spans="3:12" x14ac:dyDescent="0.2">
      <c r="C80" s="141" t="s">
        <v>313</v>
      </c>
      <c r="D80" s="142" t="s">
        <v>392</v>
      </c>
      <c r="E80" s="140">
        <v>21</v>
      </c>
      <c r="F80" s="140">
        <v>18</v>
      </c>
      <c r="G80" s="140">
        <v>17</v>
      </c>
      <c r="H80" s="140">
        <v>16</v>
      </c>
      <c r="I80" s="140">
        <v>15</v>
      </c>
      <c r="J80" s="9"/>
      <c r="K80" s="9"/>
      <c r="L80" s="9"/>
    </row>
    <row r="81" spans="3:9" x14ac:dyDescent="0.2">
      <c r="C81" s="141" t="s">
        <v>314</v>
      </c>
      <c r="D81" s="142" t="s">
        <v>393</v>
      </c>
      <c r="E81" s="140">
        <v>18</v>
      </c>
      <c r="F81" s="140">
        <v>16</v>
      </c>
      <c r="G81" s="140">
        <v>15</v>
      </c>
      <c r="H81" s="140">
        <v>14</v>
      </c>
      <c r="I81" s="140">
        <v>13</v>
      </c>
    </row>
    <row r="82" spans="3:9" x14ac:dyDescent="0.2">
      <c r="C82" s="141" t="s">
        <v>314</v>
      </c>
      <c r="D82" s="142" t="s">
        <v>394</v>
      </c>
      <c r="E82" s="140">
        <v>19</v>
      </c>
      <c r="F82" s="140">
        <v>17</v>
      </c>
      <c r="G82" s="140">
        <v>15</v>
      </c>
      <c r="H82" s="140">
        <v>14</v>
      </c>
      <c r="I82" s="140">
        <v>14</v>
      </c>
    </row>
    <row r="83" spans="3:9" x14ac:dyDescent="0.2">
      <c r="C83" s="141" t="s">
        <v>314</v>
      </c>
      <c r="D83" s="142" t="s">
        <v>395</v>
      </c>
      <c r="E83" s="140">
        <v>22</v>
      </c>
      <c r="F83" s="140">
        <v>19</v>
      </c>
      <c r="G83" s="140">
        <v>18</v>
      </c>
      <c r="H83" s="140">
        <v>17</v>
      </c>
      <c r="I83" s="140">
        <v>16</v>
      </c>
    </row>
    <row r="84" spans="3:9" x14ac:dyDescent="0.2">
      <c r="C84" s="141" t="s">
        <v>314</v>
      </c>
      <c r="D84" s="142" t="s">
        <v>396</v>
      </c>
      <c r="E84" s="140">
        <v>19</v>
      </c>
      <c r="F84" s="140">
        <v>17</v>
      </c>
      <c r="G84" s="140">
        <v>15</v>
      </c>
      <c r="H84" s="140">
        <v>14</v>
      </c>
      <c r="I84" s="140">
        <v>14</v>
      </c>
    </row>
    <row r="85" spans="3:9" x14ac:dyDescent="0.2">
      <c r="C85" s="141" t="s">
        <v>314</v>
      </c>
      <c r="D85" s="142" t="s">
        <v>397</v>
      </c>
      <c r="E85" s="140">
        <v>22</v>
      </c>
      <c r="F85" s="140">
        <v>20</v>
      </c>
      <c r="G85" s="140">
        <v>18</v>
      </c>
      <c r="H85" s="140">
        <v>17</v>
      </c>
      <c r="I85" s="140">
        <v>16</v>
      </c>
    </row>
    <row r="86" spans="3:9" x14ac:dyDescent="0.2">
      <c r="C86" s="141" t="s">
        <v>314</v>
      </c>
      <c r="D86" s="142" t="s">
        <v>398</v>
      </c>
      <c r="E86" s="140">
        <v>22</v>
      </c>
      <c r="F86" s="140">
        <v>19</v>
      </c>
      <c r="G86" s="140">
        <v>18</v>
      </c>
      <c r="H86" s="140">
        <v>17</v>
      </c>
      <c r="I86" s="140">
        <v>16</v>
      </c>
    </row>
    <row r="87" spans="3:9" x14ac:dyDescent="0.2">
      <c r="C87" s="141" t="s">
        <v>314</v>
      </c>
      <c r="D87" s="142" t="s">
        <v>399</v>
      </c>
      <c r="E87" s="140">
        <v>25</v>
      </c>
      <c r="F87" s="140">
        <v>22</v>
      </c>
      <c r="G87" s="140">
        <v>20</v>
      </c>
      <c r="H87" s="140">
        <v>19</v>
      </c>
      <c r="I87" s="140">
        <v>18</v>
      </c>
    </row>
    <row r="88" spans="3:9" x14ac:dyDescent="0.2">
      <c r="C88" s="141" t="s">
        <v>315</v>
      </c>
      <c r="D88" s="142" t="s">
        <v>400</v>
      </c>
      <c r="E88" s="140">
        <v>23</v>
      </c>
      <c r="F88" s="140">
        <v>21</v>
      </c>
      <c r="G88" s="140">
        <v>19</v>
      </c>
      <c r="H88" s="140">
        <v>18</v>
      </c>
      <c r="I88" s="140">
        <v>17</v>
      </c>
    </row>
    <row r="89" spans="3:9" x14ac:dyDescent="0.2">
      <c r="C89" s="141" t="s">
        <v>315</v>
      </c>
      <c r="D89" s="142" t="s">
        <v>401</v>
      </c>
      <c r="E89" s="140">
        <v>30</v>
      </c>
      <c r="F89" s="140">
        <v>26</v>
      </c>
      <c r="G89" s="140">
        <v>24</v>
      </c>
      <c r="H89" s="140">
        <v>22</v>
      </c>
      <c r="I89" s="140">
        <v>21</v>
      </c>
    </row>
    <row r="90" spans="3:9" x14ac:dyDescent="0.2">
      <c r="C90" s="141" t="s">
        <v>315</v>
      </c>
      <c r="D90" s="142" t="s">
        <v>402</v>
      </c>
      <c r="E90" s="140">
        <v>22</v>
      </c>
      <c r="F90" s="140">
        <v>19</v>
      </c>
      <c r="G90" s="140">
        <v>18</v>
      </c>
      <c r="H90" s="140">
        <v>17</v>
      </c>
      <c r="I90" s="140">
        <v>16</v>
      </c>
    </row>
    <row r="91" spans="3:9" x14ac:dyDescent="0.2">
      <c r="C91" s="141" t="s">
        <v>315</v>
      </c>
      <c r="D91" s="142" t="s">
        <v>403</v>
      </c>
      <c r="E91" s="140">
        <v>26</v>
      </c>
      <c r="F91" s="140">
        <v>23</v>
      </c>
      <c r="G91" s="140">
        <v>21</v>
      </c>
      <c r="H91" s="140">
        <v>20</v>
      </c>
      <c r="I91" s="140">
        <v>19</v>
      </c>
    </row>
    <row r="92" spans="3:9" x14ac:dyDescent="0.2">
      <c r="C92" s="141" t="s">
        <v>315</v>
      </c>
      <c r="D92" s="142" t="s">
        <v>404</v>
      </c>
      <c r="E92" s="140">
        <v>25</v>
      </c>
      <c r="F92" s="140">
        <v>22</v>
      </c>
      <c r="G92" s="140">
        <v>20</v>
      </c>
      <c r="H92" s="140">
        <v>19</v>
      </c>
      <c r="I92" s="140">
        <v>18</v>
      </c>
    </row>
    <row r="93" spans="3:9" x14ac:dyDescent="0.2">
      <c r="C93" s="141" t="s">
        <v>315</v>
      </c>
      <c r="D93" s="142" t="s">
        <v>405</v>
      </c>
      <c r="E93" s="140">
        <v>25</v>
      </c>
      <c r="F93" s="140">
        <v>22</v>
      </c>
      <c r="G93" s="140">
        <v>20</v>
      </c>
      <c r="H93" s="140">
        <v>19</v>
      </c>
      <c r="I93" s="140">
        <v>18</v>
      </c>
    </row>
    <row r="94" spans="3:9" x14ac:dyDescent="0.2">
      <c r="C94" s="141" t="s">
        <v>316</v>
      </c>
      <c r="D94" s="142" t="s">
        <v>406</v>
      </c>
      <c r="E94" s="140">
        <v>26</v>
      </c>
      <c r="F94" s="140">
        <v>23</v>
      </c>
      <c r="G94" s="140">
        <v>21</v>
      </c>
      <c r="H94" s="140">
        <v>19</v>
      </c>
      <c r="I94" s="140">
        <v>18</v>
      </c>
    </row>
    <row r="95" spans="3:9" x14ac:dyDescent="0.2">
      <c r="C95" s="141" t="s">
        <v>316</v>
      </c>
      <c r="D95" s="142" t="s">
        <v>407</v>
      </c>
      <c r="E95" s="140">
        <v>23</v>
      </c>
      <c r="F95" s="140">
        <v>21</v>
      </c>
      <c r="G95" s="140">
        <v>19</v>
      </c>
      <c r="H95" s="140">
        <v>18</v>
      </c>
      <c r="I95" s="140">
        <v>17</v>
      </c>
    </row>
    <row r="96" spans="3:9" x14ac:dyDescent="0.2">
      <c r="C96" s="141" t="s">
        <v>316</v>
      </c>
      <c r="D96" s="142" t="s">
        <v>408</v>
      </c>
      <c r="E96" s="140">
        <v>23</v>
      </c>
      <c r="F96" s="140">
        <v>21</v>
      </c>
      <c r="G96" s="140">
        <v>19</v>
      </c>
      <c r="H96" s="140">
        <v>18</v>
      </c>
      <c r="I96" s="140">
        <v>17</v>
      </c>
    </row>
    <row r="97" spans="3:9" x14ac:dyDescent="0.2">
      <c r="C97" s="141" t="s">
        <v>316</v>
      </c>
      <c r="D97" s="142" t="s">
        <v>409</v>
      </c>
      <c r="E97" s="140">
        <v>24</v>
      </c>
      <c r="F97" s="140">
        <v>22</v>
      </c>
      <c r="G97" s="140">
        <v>20</v>
      </c>
      <c r="H97" s="140">
        <v>19</v>
      </c>
      <c r="I97" s="140">
        <v>18</v>
      </c>
    </row>
    <row r="100" spans="3:9" x14ac:dyDescent="0.2">
      <c r="C100" s="9"/>
      <c r="D100" s="9" t="s">
        <v>410</v>
      </c>
      <c r="E100" s="9"/>
      <c r="F100" s="9"/>
      <c r="G100" s="9"/>
      <c r="H100" s="9"/>
      <c r="I100" s="9"/>
    </row>
    <row r="102" spans="3:9" x14ac:dyDescent="0.2">
      <c r="C102" s="9"/>
      <c r="D102" s="9"/>
      <c r="E102" s="9"/>
      <c r="F102" s="145" t="s">
        <v>411</v>
      </c>
      <c r="G102" s="145"/>
      <c r="H102" s="145"/>
      <c r="I102" s="145"/>
    </row>
    <row r="103" spans="3:9" x14ac:dyDescent="0.2">
      <c r="C103" s="9"/>
      <c r="D103" s="9"/>
      <c r="E103" s="138" t="s">
        <v>412</v>
      </c>
      <c r="F103" s="146">
        <v>1</v>
      </c>
      <c r="G103" s="146">
        <v>1.5</v>
      </c>
      <c r="H103" s="146">
        <v>2</v>
      </c>
      <c r="I103" s="146">
        <v>3</v>
      </c>
    </row>
    <row r="104" spans="3:9" x14ac:dyDescent="0.2">
      <c r="C104" s="9"/>
      <c r="D104" s="9"/>
      <c r="E104" s="138">
        <v>1</v>
      </c>
      <c r="F104" s="140">
        <v>18.600000000000001</v>
      </c>
      <c r="G104" s="140">
        <v>16.7</v>
      </c>
      <c r="H104" s="140">
        <v>14.9</v>
      </c>
      <c r="I104" s="140">
        <v>13</v>
      </c>
    </row>
    <row r="105" spans="3:9" x14ac:dyDescent="0.2">
      <c r="C105" s="9"/>
      <c r="D105" s="9"/>
      <c r="E105" s="138">
        <v>2</v>
      </c>
      <c r="F105" s="140">
        <v>22.2</v>
      </c>
      <c r="G105" s="140">
        <v>20</v>
      </c>
      <c r="H105" s="140">
        <v>17.8</v>
      </c>
      <c r="I105" s="140">
        <v>15.5</v>
      </c>
    </row>
    <row r="106" spans="3:9" x14ac:dyDescent="0.2">
      <c r="C106" s="9"/>
      <c r="D106" s="9"/>
      <c r="E106" s="138">
        <v>3</v>
      </c>
      <c r="F106" s="140">
        <v>25.8</v>
      </c>
      <c r="G106" s="140">
        <v>23.2</v>
      </c>
      <c r="H106" s="140">
        <v>20.6</v>
      </c>
      <c r="I106" s="140">
        <v>18.100000000000001</v>
      </c>
    </row>
    <row r="107" spans="3:9" x14ac:dyDescent="0.2">
      <c r="C107" s="9"/>
      <c r="D107" s="9"/>
      <c r="E107" s="138">
        <v>4</v>
      </c>
      <c r="F107" s="140">
        <v>29.4</v>
      </c>
      <c r="G107" s="140">
        <v>26.5</v>
      </c>
      <c r="H107" s="140">
        <v>23.5</v>
      </c>
      <c r="I107" s="140">
        <v>20.6</v>
      </c>
    </row>
  </sheetData>
  <mergeCells count="2">
    <mergeCell ref="C3:I3"/>
    <mergeCell ref="K3:P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7476715C66C049988B1DA30BBDD012" ma:contentTypeVersion="16" ma:contentTypeDescription="Create a new document." ma:contentTypeScope="" ma:versionID="de9232b255cc39f16cf1a60a68973092">
  <xsd:schema xmlns:xsd="http://www.w3.org/2001/XMLSchema" xmlns:xs="http://www.w3.org/2001/XMLSchema" xmlns:p="http://schemas.microsoft.com/office/2006/metadata/properties" xmlns:ns1="http://schemas.microsoft.com/sharepoint/v3" xmlns:ns3="d53b5a6b-9990-481d-93a2-8a7b437f5057" xmlns:ns4="ce0b3b43-8f07-49d9-a797-36fa59d6572e" targetNamespace="http://schemas.microsoft.com/office/2006/metadata/properties" ma:root="true" ma:fieldsID="4b0b657a1afe6b1f81c3c8a7a605a06d" ns1:_="" ns3:_="" ns4:_="">
    <xsd:import namespace="http://schemas.microsoft.com/sharepoint/v3"/>
    <xsd:import namespace="d53b5a6b-9990-481d-93a2-8a7b437f5057"/>
    <xsd:import namespace="ce0b3b43-8f07-49d9-a797-36fa59d657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3b5a6b-9990-481d-93a2-8a7b437f50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e0b3b43-8f07-49d9-a797-36fa59d6572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B99F6CF-9967-46FF-BF9E-978DD726F9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53b5a6b-9990-481d-93a2-8a7b437f5057"/>
    <ds:schemaRef ds:uri="ce0b3b43-8f07-49d9-a797-36fa59d657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412E4C-A060-4F3C-93B7-8CF9CBFEB41A}">
  <ds:schemaRefs>
    <ds:schemaRef ds:uri="http://schemas.microsoft.com/sharepoint/v3/contenttype/forms"/>
  </ds:schemaRefs>
</ds:datastoreItem>
</file>

<file path=customXml/itemProps3.xml><?xml version="1.0" encoding="utf-8"?>
<ds:datastoreItem xmlns:ds="http://schemas.openxmlformats.org/officeDocument/2006/customXml" ds:itemID="{5F42B9FD-A8B7-4A9C-A34A-29F800B20FD3}">
  <ds:schemaRefs>
    <ds:schemaRef ds:uri="d53b5a6b-9990-481d-93a2-8a7b437f5057"/>
    <ds:schemaRef ds:uri="http://schemas.microsoft.com/sharepoint/v3"/>
    <ds:schemaRef ds:uri="http://purl.org/dc/elements/1.1/"/>
    <ds:schemaRef ds:uri="http://purl.org/dc/dcmitype/"/>
    <ds:schemaRef ds:uri="http://schemas.openxmlformats.org/package/2006/metadata/core-properties"/>
    <ds:schemaRef ds:uri="http://purl.org/dc/terms/"/>
    <ds:schemaRef ds:uri="http://schemas.microsoft.com/office/2006/documentManagement/types"/>
    <ds:schemaRef ds:uri="http://www.w3.org/XML/1998/namespace"/>
    <ds:schemaRef ds:uri="http://schemas.microsoft.com/office/infopath/2007/PartnerControls"/>
    <ds:schemaRef ds:uri="ce0b3b43-8f07-49d9-a797-36fa59d6572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About</vt:lpstr>
      <vt:lpstr>Entry Sheet</vt:lpstr>
      <vt:lpstr>Incentive Estimate</vt:lpstr>
      <vt:lpstr> CAZ Requirements</vt:lpstr>
      <vt:lpstr>CAZ 2017 Updates</vt:lpstr>
      <vt:lpstr>Report</vt:lpstr>
      <vt:lpstr>Calculations</vt:lpstr>
      <vt:lpstr>Appendix 1</vt:lpstr>
      <vt:lpstr>Appendix 2</vt:lpstr>
      <vt:lpstr>Table 1</vt:lpstr>
      <vt:lpstr>Table 2</vt:lpstr>
      <vt:lpstr>Table 3</vt:lpstr>
      <vt:lpstr>Table 4</vt:lpstr>
      <vt:lpstr>Table 5</vt:lpstr>
      <vt:lpstr>'Entry Sheet'!California</vt:lpstr>
      <vt:lpstr>idaho</vt:lpstr>
      <vt:lpstr>montana</vt:lpstr>
      <vt:lpstr>oregon</vt:lpstr>
      <vt:lpstr>About!Print_Area</vt:lpstr>
      <vt:lpstr>Report!Print_Area</vt:lpstr>
      <vt:lpstr>states</vt:lpstr>
      <vt:lpstr>VLOOKUPTABLE2</vt:lpstr>
      <vt:lpstr>washington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dc:creator>
  <cp:keywords/>
  <dc:description/>
  <cp:lastModifiedBy>Joseph Koproski</cp:lastModifiedBy>
  <cp:revision/>
  <dcterms:created xsi:type="dcterms:W3CDTF">2014-09-22T17:21:30Z</dcterms:created>
  <dcterms:modified xsi:type="dcterms:W3CDTF">2022-04-12T18:32:58Z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olution ID">
    <vt:lpwstr>{15727DE6-F92D-4E46-ACB4-0E2C58B31A18}</vt:lpwstr>
  </property>
  <property fmtid="{D5CDD505-2E9C-101B-9397-08002B2CF9AE}" pid="4" name="ContentTypeId">
    <vt:lpwstr>0x010100B37476715C66C049988B1DA30BBDD012</vt:lpwstr>
  </property>
</Properties>
</file>